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updateLinks="always"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flankspeed-my.sharepoint-mil.us/personal/hallock_n_mohler_civ_us_navy_mil/Documents/Desktop/New folder (4)/"/>
    </mc:Choice>
  </mc:AlternateContent>
  <xr:revisionPtr revIDLastSave="8" documentId="8_{9A3FF995-64B0-4466-8894-5E9431F167D2}" xr6:coauthVersionLast="47" xr6:coauthVersionMax="47" xr10:uidLastSave="{3D943630-91DC-4FE2-B6E8-FACBAC291D0E}"/>
  <workbookProtection workbookAlgorithmName="SHA-512" workbookHashValue="7/XJ13ucKKfnfzIjFHTGEbrErOhYHou7plDoYtj4q5UvPu/qSuGeJw+9NVpN3KaHBP3mLXAuxQymaSW1CH0bvQ==" workbookSaltValue="U7LLQ/hpwG14dgqVOfET3A==" workbookSpinCount="100000" lockStructure="1"/>
  <bookViews>
    <workbookView xWindow="28680" yWindow="90" windowWidth="29040" windowHeight="15630" firstSheet="13" activeTab="13" xr2:uid="{00000000-000D-0000-FFFF-FFFF00000000}"/>
  </bookViews>
  <sheets>
    <sheet name="TSD-Bi-Weekly" sheetId="25" state="hidden" r:id="rId1"/>
    <sheet name="TSD-%" sheetId="20" state="hidden" r:id="rId2"/>
    <sheet name="Planning-Need vs Planned" sheetId="32" state="hidden" r:id="rId3"/>
    <sheet name="Sheet1" sheetId="42" state="hidden" r:id="rId4"/>
    <sheet name="TSD- FY25 Canceled Courses" sheetId="41" state="hidden" r:id="rId5"/>
    <sheet name="Detail1" sheetId="37" state="hidden" r:id="rId6"/>
    <sheet name="Detail2" sheetId="38" state="hidden" r:id="rId7"/>
    <sheet name="Detail3" sheetId="39" state="hidden" r:id="rId8"/>
    <sheet name="FLT" sheetId="31" state="hidden" r:id="rId9"/>
    <sheet name="OH" sheetId="28" state="hidden" r:id="rId10"/>
    <sheet name="SAF" sheetId="27" state="hidden" r:id="rId11"/>
    <sheet name="ENV" sheetId="29" state="hidden" r:id="rId12"/>
    <sheet name="Detail4" sheetId="40" state="hidden" r:id="rId13"/>
    <sheet name="FY26 Status" sheetId="17" r:id="rId14"/>
    <sheet name="Planned vs Need by Course" sheetId="51" state="hidden" r:id="rId15"/>
    <sheet name="FY 2026 Schedule" sheetId="1" r:id="rId16"/>
    <sheet name="TSD-Data" sheetId="3" state="hidden" r:id="rId17"/>
    <sheet name="FY26 Needs Assessment Dashboard" sheetId="48" r:id="rId18"/>
    <sheet name="FY26  SOH Resident Courses All" sheetId="49" r:id="rId19"/>
    <sheet name="FY26 SOH Global Online All" sheetId="52" r:id="rId20"/>
    <sheet name="FY26 EEM Resident Courses All" sheetId="53" r:id="rId21"/>
    <sheet name="FY26 EEM Online Courses All" sheetId="54" r:id="rId22"/>
    <sheet name="Detail5" sheetId="43" state="hidden" r:id="rId23"/>
    <sheet name="Detail6" sheetId="44" state="hidden" r:id="rId24"/>
    <sheet name="Detail7" sheetId="45" state="hidden" r:id="rId25"/>
    <sheet name="Detail8" sheetId="46" state="hidden" r:id="rId26"/>
    <sheet name="Detail9" sheetId="47" state="hidden" r:id="rId27"/>
  </sheets>
  <definedNames>
    <definedName name="_xlnm._FilterDatabase" localSheetId="2" hidden="1">'Planning-Need vs Planned'!$B$2:$L$39</definedName>
    <definedName name="CIN">'TSD-Data'!$B$2:$B$56</definedName>
    <definedName name="Class" localSheetId="11">#REF!</definedName>
    <definedName name="Class" localSheetId="8">#REF!</definedName>
    <definedName name="Class" localSheetId="18">#REF!</definedName>
    <definedName name="Class" localSheetId="21">#REF!</definedName>
    <definedName name="Class" localSheetId="20">#REF!</definedName>
    <definedName name="Class" localSheetId="17">#REF!</definedName>
    <definedName name="Class" localSheetId="19">#REF!</definedName>
    <definedName name="Class" localSheetId="9">#REF!</definedName>
    <definedName name="Class" localSheetId="10">#REF!</definedName>
    <definedName name="Class">'TSD-Data'!$A$2:$A$56</definedName>
    <definedName name="Courses">'TSD-Data'!$A$2:$C$56</definedName>
    <definedName name="HighlightRow" localSheetId="11">2</definedName>
    <definedName name="HighlightRow" localSheetId="8">2</definedName>
    <definedName name="HighlightRow" localSheetId="15">2</definedName>
    <definedName name="HighlightRow" localSheetId="9">2</definedName>
    <definedName name="HighlightRow" localSheetId="10">2</definedName>
    <definedName name="HighlightRow">10</definedName>
    <definedName name="Instructor" localSheetId="11">#REF!</definedName>
    <definedName name="Instructor" localSheetId="8">#REF!</definedName>
    <definedName name="Instructor" localSheetId="9">#REF!</definedName>
    <definedName name="Instructor" localSheetId="10">#REF!</definedName>
    <definedName name="Instructor">'TSD-Data'!$H$2:$H$37</definedName>
    <definedName name="Location" localSheetId="11">#REF!</definedName>
    <definedName name="Location" localSheetId="8">#REF!</definedName>
    <definedName name="Location" localSheetId="18">#REF!</definedName>
    <definedName name="Location" localSheetId="21">#REF!</definedName>
    <definedName name="Location" localSheetId="20">#REF!</definedName>
    <definedName name="Location" localSheetId="17">#REF!</definedName>
    <definedName name="Location" localSheetId="19">#REF!</definedName>
    <definedName name="Location" localSheetId="9">#REF!</definedName>
    <definedName name="Location" localSheetId="10">#REF!</definedName>
    <definedName name="Location">'TSD-Data'!$L$2:$L$92</definedName>
    <definedName name="_xlnm.Print_Area" localSheetId="11">ENV!$A$1:$X$164</definedName>
    <definedName name="_xlnm.Print_Area" localSheetId="8">FLT!$A$1:$X$99</definedName>
    <definedName name="_xlnm.Print_Area" localSheetId="15">'FY 2026 Schedule'!$A$1:$AD$513</definedName>
    <definedName name="_xlnm.Print_Area" localSheetId="17">Table119[#All]</definedName>
    <definedName name="_xlnm.Print_Area" localSheetId="13">'FY26 Status'!$B$3:$AA$42</definedName>
    <definedName name="_xlnm.Print_Area" localSheetId="9">OH!$A$1:$X$460</definedName>
    <definedName name="_xlnm.Print_Area" localSheetId="10">SAF!$A$1:$X$460</definedName>
    <definedName name="Roster" localSheetId="11">#REF!</definedName>
    <definedName name="Roster" localSheetId="8">#REF!</definedName>
    <definedName name="Roster" localSheetId="9">#REF!</definedName>
    <definedName name="Roster" localSheetId="10">#REF!</definedName>
    <definedName name="Roster">'TSD-Data'!$N$2:$N$5</definedName>
  </definedNames>
  <calcPr calcId="191028"/>
  <pivotCaches>
    <pivotCache cacheId="0" r:id="rId28"/>
    <pivotCache cacheId="1" r:id="rId29"/>
    <pivotCache cacheId="2" r:id="rId30"/>
    <pivotCache cacheId="3" r:id="rId31"/>
    <pivotCache cacheId="4" r:id="rId3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6" i="1" l="1"/>
  <c r="D136" i="1"/>
  <c r="C170" i="1"/>
  <c r="D170" i="1"/>
  <c r="C215" i="1"/>
  <c r="D215" i="1"/>
  <c r="C275" i="1"/>
  <c r="D275" i="1"/>
  <c r="C288" i="1"/>
  <c r="D288" i="1"/>
  <c r="C297" i="1"/>
  <c r="D297" i="1"/>
  <c r="C311" i="1"/>
  <c r="D311" i="1"/>
  <c r="C323" i="1"/>
  <c r="D323" i="1"/>
  <c r="C350" i="1"/>
  <c r="D350" i="1"/>
  <c r="C373" i="1"/>
  <c r="D373" i="1"/>
  <c r="C378" i="1"/>
  <c r="D378" i="1"/>
  <c r="C387" i="1"/>
  <c r="D387" i="1"/>
  <c r="C406" i="1"/>
  <c r="D406" i="1"/>
  <c r="C409" i="1"/>
  <c r="D409" i="1"/>
  <c r="C429" i="1"/>
  <c r="D429" i="1"/>
  <c r="C430" i="1"/>
  <c r="D430" i="1"/>
  <c r="C458" i="1"/>
  <c r="D458" i="1"/>
  <c r="C469" i="1"/>
  <c r="D469" i="1"/>
  <c r="C471" i="1"/>
  <c r="D471" i="1"/>
  <c r="C474" i="1"/>
  <c r="D474" i="1"/>
  <c r="C479" i="1"/>
  <c r="D479" i="1"/>
  <c r="C509" i="1"/>
  <c r="D509" i="1"/>
  <c r="C5" i="1"/>
  <c r="D5" i="1"/>
  <c r="C80" i="1"/>
  <c r="D80" i="1"/>
  <c r="C89" i="1"/>
  <c r="D89" i="1"/>
  <c r="C130" i="1"/>
  <c r="D130" i="1"/>
  <c r="C148" i="1"/>
  <c r="D148" i="1"/>
  <c r="C155" i="1"/>
  <c r="D155" i="1"/>
  <c r="C172" i="1"/>
  <c r="D172" i="1"/>
  <c r="C197" i="1"/>
  <c r="D197" i="1"/>
  <c r="C221" i="1"/>
  <c r="D221" i="1"/>
  <c r="C246" i="1"/>
  <c r="D246" i="1"/>
  <c r="C281" i="1"/>
  <c r="D281" i="1"/>
  <c r="C312" i="1"/>
  <c r="D312" i="1"/>
  <c r="C333" i="1"/>
  <c r="D333" i="1"/>
  <c r="C355" i="1"/>
  <c r="D355" i="1"/>
  <c r="C376" i="1"/>
  <c r="D376" i="1"/>
  <c r="C392" i="1"/>
  <c r="D392" i="1"/>
  <c r="C413" i="1"/>
  <c r="D413" i="1"/>
  <c r="C431" i="1"/>
  <c r="D431" i="1"/>
  <c r="C459" i="1"/>
  <c r="D459" i="1"/>
  <c r="C476" i="1"/>
  <c r="D476" i="1"/>
  <c r="C498" i="1"/>
  <c r="D498" i="1"/>
  <c r="C8" i="1"/>
  <c r="D8" i="1"/>
  <c r="C43" i="1"/>
  <c r="D43" i="1"/>
  <c r="C71" i="1"/>
  <c r="D71" i="1"/>
  <c r="C83" i="1"/>
  <c r="D83" i="1"/>
  <c r="C98" i="1"/>
  <c r="D98" i="1"/>
  <c r="C142" i="1"/>
  <c r="D142" i="1"/>
  <c r="C160" i="1"/>
  <c r="D160" i="1"/>
  <c r="C181" i="1"/>
  <c r="D181" i="1"/>
  <c r="C204" i="1"/>
  <c r="D204" i="1"/>
  <c r="C228" i="1"/>
  <c r="D228" i="1"/>
  <c r="C316" i="1"/>
  <c r="D316" i="1"/>
  <c r="C337" i="1"/>
  <c r="D337" i="1"/>
  <c r="C367" i="1"/>
  <c r="D367" i="1"/>
  <c r="C415" i="1"/>
  <c r="D415" i="1"/>
  <c r="C442" i="1"/>
  <c r="D442" i="1"/>
  <c r="C462" i="1"/>
  <c r="D462" i="1"/>
  <c r="C488" i="1"/>
  <c r="D488" i="1"/>
  <c r="C9" i="1"/>
  <c r="D9" i="1"/>
  <c r="C26" i="1"/>
  <c r="D26" i="1"/>
  <c r="C48" i="1"/>
  <c r="D48" i="1"/>
  <c r="C72" i="1"/>
  <c r="D72" i="1"/>
  <c r="C84" i="1"/>
  <c r="D84" i="1"/>
  <c r="C112" i="1"/>
  <c r="D112" i="1"/>
  <c r="C143" i="1"/>
  <c r="D143" i="1"/>
  <c r="C161" i="1"/>
  <c r="D161" i="1"/>
  <c r="C194" i="1"/>
  <c r="D194" i="1"/>
  <c r="C216" i="1"/>
  <c r="D216" i="1"/>
  <c r="C279" i="1"/>
  <c r="D279" i="1"/>
  <c r="C289" i="1"/>
  <c r="D289" i="1"/>
  <c r="C317" i="1"/>
  <c r="D317" i="1"/>
  <c r="C338" i="1"/>
  <c r="D338" i="1"/>
  <c r="C374" i="1"/>
  <c r="D374" i="1"/>
  <c r="C379" i="1"/>
  <c r="D379" i="1"/>
  <c r="C397" i="1"/>
  <c r="D397" i="1"/>
  <c r="C432" i="1"/>
  <c r="D432" i="1"/>
  <c r="C478" i="1"/>
  <c r="D478" i="1"/>
  <c r="C503" i="1"/>
  <c r="D503" i="1"/>
  <c r="C122" i="1"/>
  <c r="D122" i="1"/>
  <c r="C131" i="1"/>
  <c r="D131" i="1"/>
  <c r="C140" i="1"/>
  <c r="D140" i="1"/>
  <c r="C153" i="1"/>
  <c r="D153" i="1"/>
  <c r="C162" i="1"/>
  <c r="D162" i="1"/>
  <c r="C163" i="1"/>
  <c r="D163" i="1"/>
  <c r="C173" i="1"/>
  <c r="D173" i="1"/>
  <c r="C174" i="1"/>
  <c r="D174" i="1"/>
  <c r="C182" i="1"/>
  <c r="D182" i="1"/>
  <c r="C183" i="1"/>
  <c r="D183" i="1"/>
  <c r="C195" i="1"/>
  <c r="D195" i="1"/>
  <c r="C208" i="1"/>
  <c r="D208" i="1"/>
  <c r="C217" i="1"/>
  <c r="D217" i="1"/>
  <c r="C222" i="1"/>
  <c r="D222" i="1"/>
  <c r="C229" i="1"/>
  <c r="D229" i="1"/>
  <c r="C230" i="1"/>
  <c r="D230" i="1"/>
  <c r="C253" i="1"/>
  <c r="D253" i="1"/>
  <c r="C254" i="1"/>
  <c r="D254" i="1"/>
  <c r="C264" i="1"/>
  <c r="D264" i="1"/>
  <c r="C265" i="1"/>
  <c r="D265" i="1"/>
  <c r="C266" i="1"/>
  <c r="D266" i="1"/>
  <c r="C290" i="1"/>
  <c r="D290" i="1"/>
  <c r="C303" i="1"/>
  <c r="D303" i="1"/>
  <c r="C304" i="1"/>
  <c r="D304" i="1"/>
  <c r="C334" i="1"/>
  <c r="D334" i="1"/>
  <c r="C344" i="1"/>
  <c r="D344" i="1"/>
  <c r="C351" i="1"/>
  <c r="D351" i="1"/>
  <c r="C388" i="1"/>
  <c r="D388" i="1"/>
  <c r="C401" i="1"/>
  <c r="D401" i="1"/>
  <c r="C420" i="1"/>
  <c r="D420" i="1"/>
  <c r="C425" i="1"/>
  <c r="D425" i="1"/>
  <c r="C454" i="1"/>
  <c r="D454" i="1"/>
  <c r="C468" i="1"/>
  <c r="D468" i="1"/>
  <c r="C480" i="1"/>
  <c r="D480" i="1"/>
  <c r="C489" i="1"/>
  <c r="D489" i="1"/>
  <c r="C504" i="1"/>
  <c r="D504" i="1"/>
  <c r="C134" i="1"/>
  <c r="D134" i="1"/>
  <c r="C156" i="1"/>
  <c r="D156" i="1"/>
  <c r="C167" i="1"/>
  <c r="D167" i="1"/>
  <c r="C177" i="1"/>
  <c r="D177" i="1"/>
  <c r="C191" i="1"/>
  <c r="D191" i="1"/>
  <c r="C192" i="1"/>
  <c r="D192" i="1"/>
  <c r="C199" i="1"/>
  <c r="D199" i="1"/>
  <c r="C211" i="1"/>
  <c r="D211" i="1"/>
  <c r="C224" i="1"/>
  <c r="D224" i="1"/>
  <c r="C225" i="1"/>
  <c r="D225" i="1"/>
  <c r="C240" i="1"/>
  <c r="D240" i="1"/>
  <c r="C255" i="1"/>
  <c r="D255" i="1"/>
  <c r="C256" i="1"/>
  <c r="D256" i="1"/>
  <c r="C269" i="1"/>
  <c r="D269" i="1"/>
  <c r="C270" i="1"/>
  <c r="D270" i="1"/>
  <c r="C284" i="1"/>
  <c r="D284" i="1"/>
  <c r="C298" i="1"/>
  <c r="D298" i="1"/>
  <c r="C299" i="1"/>
  <c r="D299" i="1"/>
  <c r="C313" i="1"/>
  <c r="D313" i="1"/>
  <c r="C358" i="1"/>
  <c r="D358" i="1"/>
  <c r="C393" i="1"/>
  <c r="D393" i="1"/>
  <c r="C407" i="1"/>
  <c r="D407" i="1"/>
  <c r="C410" i="1"/>
  <c r="D410" i="1"/>
  <c r="C435" i="1"/>
  <c r="D435" i="1"/>
  <c r="C470" i="1"/>
  <c r="D470" i="1"/>
  <c r="C15" i="1"/>
  <c r="D15" i="1"/>
  <c r="C63" i="1"/>
  <c r="D63" i="1"/>
  <c r="C82" i="1"/>
  <c r="D82" i="1"/>
  <c r="C108" i="1"/>
  <c r="D108" i="1"/>
  <c r="C109" i="1"/>
  <c r="D109" i="1"/>
  <c r="C135" i="1"/>
  <c r="D135" i="1"/>
  <c r="C169" i="1"/>
  <c r="D169" i="1"/>
  <c r="C330" i="1"/>
  <c r="D330" i="1"/>
  <c r="C363" i="1"/>
  <c r="D363" i="1"/>
  <c r="C383" i="1"/>
  <c r="D383" i="1"/>
  <c r="C477" i="1"/>
  <c r="D477" i="1"/>
  <c r="C64" i="1"/>
  <c r="D64" i="1"/>
  <c r="C175" i="1"/>
  <c r="D175" i="1"/>
  <c r="C362" i="1"/>
  <c r="D362" i="1"/>
  <c r="C446" i="1"/>
  <c r="D446" i="1"/>
  <c r="C472" i="1"/>
  <c r="D472" i="1"/>
  <c r="C481" i="1"/>
  <c r="D481" i="1"/>
  <c r="C499" i="1"/>
  <c r="D499" i="1"/>
  <c r="C17" i="1"/>
  <c r="D17" i="1"/>
  <c r="C46" i="1"/>
  <c r="D46" i="1"/>
  <c r="C65" i="1"/>
  <c r="D65" i="1"/>
  <c r="C94" i="1"/>
  <c r="D94" i="1"/>
  <c r="C137" i="1"/>
  <c r="D137" i="1"/>
  <c r="C154" i="1"/>
  <c r="D154" i="1"/>
  <c r="C171" i="1"/>
  <c r="D171" i="1"/>
  <c r="C209" i="1"/>
  <c r="D209" i="1"/>
  <c r="C245" i="1"/>
  <c r="D245" i="1"/>
  <c r="C282" i="1"/>
  <c r="D282" i="1"/>
  <c r="C296" i="1"/>
  <c r="D296" i="1"/>
  <c r="C324" i="1"/>
  <c r="D324" i="1"/>
  <c r="C356" i="1"/>
  <c r="D356" i="1"/>
  <c r="C389" i="1"/>
  <c r="D389" i="1"/>
  <c r="C411" i="1"/>
  <c r="D411" i="1"/>
  <c r="C433" i="1"/>
  <c r="D433" i="1"/>
  <c r="C475" i="1"/>
  <c r="D475" i="1"/>
  <c r="C497" i="1"/>
  <c r="D497" i="1"/>
  <c r="C510" i="1"/>
  <c r="D510" i="1"/>
  <c r="C49" i="1"/>
  <c r="D49" i="1"/>
  <c r="C73" i="1"/>
  <c r="D73" i="1"/>
  <c r="C138" i="1"/>
  <c r="D138" i="1"/>
  <c r="C231" i="1"/>
  <c r="D231" i="1"/>
  <c r="C318" i="1"/>
  <c r="D318" i="1"/>
  <c r="C339" i="1"/>
  <c r="D339" i="1"/>
  <c r="C368" i="1"/>
  <c r="D368" i="1"/>
  <c r="C455" i="1"/>
  <c r="D455" i="1"/>
  <c r="C508" i="1"/>
  <c r="D508" i="1"/>
  <c r="C4" i="1"/>
  <c r="D4" i="1"/>
  <c r="C13" i="1"/>
  <c r="D13" i="1"/>
  <c r="C27" i="1"/>
  <c r="D27" i="1"/>
  <c r="C50" i="1"/>
  <c r="D50" i="1"/>
  <c r="C74" i="1"/>
  <c r="D74" i="1"/>
  <c r="C85" i="1"/>
  <c r="D85" i="1"/>
  <c r="C95" i="1"/>
  <c r="D95" i="1"/>
  <c r="C123" i="1"/>
  <c r="D123" i="1"/>
  <c r="C144" i="1"/>
  <c r="D144" i="1"/>
  <c r="C164" i="1"/>
  <c r="D164" i="1"/>
  <c r="C184" i="1"/>
  <c r="D184" i="1"/>
  <c r="C205" i="1"/>
  <c r="D205" i="1"/>
  <c r="C232" i="1"/>
  <c r="D232" i="1"/>
  <c r="C280" i="1"/>
  <c r="D280" i="1"/>
  <c r="C305" i="1"/>
  <c r="D305" i="1"/>
  <c r="C325" i="1"/>
  <c r="D325" i="1"/>
  <c r="C331" i="1"/>
  <c r="D331" i="1"/>
  <c r="C360" i="1"/>
  <c r="D360" i="1"/>
  <c r="C380" i="1"/>
  <c r="D380" i="1"/>
  <c r="C390" i="1"/>
  <c r="D390" i="1"/>
  <c r="C419" i="1"/>
  <c r="D419" i="1"/>
  <c r="C447" i="1"/>
  <c r="D447" i="1"/>
  <c r="C463" i="1"/>
  <c r="D463" i="1"/>
  <c r="C490" i="1"/>
  <c r="D490" i="1"/>
  <c r="C10" i="1"/>
  <c r="D10" i="1"/>
  <c r="C28" i="1"/>
  <c r="D28" i="1"/>
  <c r="C51" i="1"/>
  <c r="D51" i="1"/>
  <c r="C75" i="1"/>
  <c r="D75" i="1"/>
  <c r="C92" i="1"/>
  <c r="D92" i="1"/>
  <c r="C115" i="1"/>
  <c r="D115" i="1"/>
  <c r="C139" i="1"/>
  <c r="D139" i="1"/>
  <c r="C185" i="1"/>
  <c r="D185" i="1"/>
  <c r="C206" i="1"/>
  <c r="D206" i="1"/>
  <c r="C233" i="1"/>
  <c r="D233" i="1"/>
  <c r="C319" i="1"/>
  <c r="D319" i="1"/>
  <c r="C340" i="1"/>
  <c r="D340" i="1"/>
  <c r="C361" i="1"/>
  <c r="D361" i="1"/>
  <c r="C381" i="1"/>
  <c r="D381" i="1"/>
  <c r="C398" i="1"/>
  <c r="D398" i="1"/>
  <c r="C416" i="1"/>
  <c r="D416" i="1"/>
  <c r="C443" i="1"/>
  <c r="D443" i="1"/>
  <c r="C464" i="1"/>
  <c r="D464" i="1"/>
  <c r="C505" i="1"/>
  <c r="D505" i="1"/>
  <c r="C86" i="1"/>
  <c r="D86" i="1"/>
  <c r="C124" i="1"/>
  <c r="D124" i="1"/>
  <c r="C244" i="1"/>
  <c r="D244" i="1"/>
  <c r="C291" i="1"/>
  <c r="D291" i="1"/>
  <c r="C491" i="1"/>
  <c r="D491" i="1"/>
  <c r="C76" i="1"/>
  <c r="D76" i="1"/>
  <c r="C125" i="1"/>
  <c r="D125" i="1"/>
  <c r="C186" i="1"/>
  <c r="D186" i="1"/>
  <c r="C234" i="1"/>
  <c r="D234" i="1"/>
  <c r="C332" i="1"/>
  <c r="D332" i="1"/>
  <c r="C369" i="1"/>
  <c r="D369" i="1"/>
  <c r="C417" i="1"/>
  <c r="D417" i="1"/>
  <c r="C465" i="1"/>
  <c r="D465" i="1"/>
  <c r="C506" i="1"/>
  <c r="D506" i="1"/>
  <c r="C126" i="1"/>
  <c r="D126" i="1"/>
  <c r="C132" i="1"/>
  <c r="D132" i="1"/>
  <c r="C133" i="1"/>
  <c r="D133" i="1"/>
  <c r="C168" i="1"/>
  <c r="D168" i="1"/>
  <c r="C235" i="1"/>
  <c r="D235" i="1"/>
  <c r="C239" i="1"/>
  <c r="D239" i="1"/>
  <c r="C241" i="1"/>
  <c r="D241" i="1"/>
  <c r="C268" i="1"/>
  <c r="D268" i="1"/>
  <c r="C271" i="1"/>
  <c r="D271" i="1"/>
  <c r="C273" i="1"/>
  <c r="D273" i="1"/>
  <c r="C276" i="1"/>
  <c r="D276" i="1"/>
  <c r="C306" i="1"/>
  <c r="D306" i="1"/>
  <c r="C320" i="1"/>
  <c r="D320" i="1"/>
  <c r="C326" i="1"/>
  <c r="D326" i="1"/>
  <c r="C327" i="1"/>
  <c r="D327" i="1"/>
  <c r="C328" i="1"/>
  <c r="D328" i="1"/>
  <c r="C329" i="1"/>
  <c r="D329" i="1"/>
  <c r="C352" i="1"/>
  <c r="D352" i="1"/>
  <c r="C357" i="1"/>
  <c r="D357" i="1"/>
  <c r="C359" i="1"/>
  <c r="D359" i="1"/>
  <c r="C370" i="1"/>
  <c r="D370" i="1"/>
  <c r="C375" i="1"/>
  <c r="D375" i="1"/>
  <c r="C377" i="1"/>
  <c r="D377" i="1"/>
  <c r="C385" i="1"/>
  <c r="D385" i="1"/>
  <c r="C391" i="1"/>
  <c r="D391" i="1"/>
  <c r="C394" i="1"/>
  <c r="D394" i="1"/>
  <c r="C412" i="1"/>
  <c r="D412" i="1"/>
  <c r="C434" i="1"/>
  <c r="D434" i="1"/>
  <c r="C436" i="1"/>
  <c r="D436" i="1"/>
  <c r="C460" i="1"/>
  <c r="D460" i="1"/>
  <c r="C44" i="1"/>
  <c r="D44" i="1"/>
  <c r="C77" i="1"/>
  <c r="D77" i="1"/>
  <c r="C93" i="1"/>
  <c r="D93" i="1"/>
  <c r="C127" i="1"/>
  <c r="D127" i="1"/>
  <c r="C145" i="1"/>
  <c r="D145" i="1"/>
  <c r="C151" i="1"/>
  <c r="D151" i="1"/>
  <c r="C187" i="1"/>
  <c r="D187" i="1"/>
  <c r="C207" i="1"/>
  <c r="D207" i="1"/>
  <c r="C236" i="1"/>
  <c r="D236" i="1"/>
  <c r="C250" i="1"/>
  <c r="D250" i="1"/>
  <c r="C307" i="1"/>
  <c r="D307" i="1"/>
  <c r="C353" i="1"/>
  <c r="D353" i="1"/>
  <c r="C386" i="1"/>
  <c r="D386" i="1"/>
  <c r="C444" i="1"/>
  <c r="D444" i="1"/>
  <c r="C466" i="1"/>
  <c r="D466" i="1"/>
  <c r="C492" i="1"/>
  <c r="D492" i="1"/>
  <c r="C511" i="1"/>
  <c r="D511" i="1"/>
  <c r="C267" i="1"/>
  <c r="D267" i="1"/>
  <c r="C274" i="1"/>
  <c r="D274" i="1"/>
  <c r="C11" i="1"/>
  <c r="D11" i="1"/>
  <c r="C45" i="1"/>
  <c r="D45" i="1"/>
  <c r="C78" i="1"/>
  <c r="D78" i="1"/>
  <c r="C87" i="1"/>
  <c r="D87" i="1"/>
  <c r="C113" i="1"/>
  <c r="D113" i="1"/>
  <c r="C128" i="1"/>
  <c r="D128" i="1"/>
  <c r="C146" i="1"/>
  <c r="D146" i="1"/>
  <c r="C152" i="1"/>
  <c r="D152" i="1"/>
  <c r="C188" i="1"/>
  <c r="D188" i="1"/>
  <c r="C196" i="1"/>
  <c r="D196" i="1"/>
  <c r="C251" i="1"/>
  <c r="D251" i="1"/>
  <c r="C292" i="1"/>
  <c r="D292" i="1"/>
  <c r="C308" i="1"/>
  <c r="D308" i="1"/>
  <c r="C309" i="1"/>
  <c r="D309" i="1"/>
  <c r="C354" i="1"/>
  <c r="D354" i="1"/>
  <c r="C371" i="1"/>
  <c r="D371" i="1"/>
  <c r="C408" i="1"/>
  <c r="D408" i="1"/>
  <c r="C418" i="1"/>
  <c r="D418" i="1"/>
  <c r="C426" i="1"/>
  <c r="D426" i="1"/>
  <c r="C445" i="1"/>
  <c r="D445" i="1"/>
  <c r="C456" i="1"/>
  <c r="D456" i="1"/>
  <c r="C467" i="1"/>
  <c r="D467" i="1"/>
  <c r="C493" i="1"/>
  <c r="D493" i="1"/>
  <c r="C494" i="1"/>
  <c r="D494" i="1"/>
  <c r="C507" i="1"/>
  <c r="D507" i="1"/>
  <c r="C37" i="1"/>
  <c r="D37" i="1"/>
  <c r="C60" i="1"/>
  <c r="D60" i="1"/>
  <c r="C105" i="1"/>
  <c r="D105" i="1"/>
  <c r="C34" i="1"/>
  <c r="D34" i="1"/>
  <c r="C57" i="1"/>
  <c r="D57" i="1"/>
  <c r="C102" i="1"/>
  <c r="D102" i="1"/>
  <c r="C32" i="1"/>
  <c r="D32" i="1"/>
  <c r="C55" i="1"/>
  <c r="D55" i="1"/>
  <c r="C99" i="1"/>
  <c r="D99" i="1"/>
  <c r="C33" i="1"/>
  <c r="D33" i="1"/>
  <c r="C56" i="1"/>
  <c r="D56" i="1"/>
  <c r="C100" i="1"/>
  <c r="D100" i="1"/>
  <c r="C29" i="1"/>
  <c r="D29" i="1"/>
  <c r="C52" i="1"/>
  <c r="D52" i="1"/>
  <c r="C96" i="1"/>
  <c r="D96" i="1"/>
  <c r="C35" i="1"/>
  <c r="D35" i="1"/>
  <c r="C58" i="1"/>
  <c r="D58" i="1"/>
  <c r="C103" i="1"/>
  <c r="D103" i="1"/>
  <c r="C38" i="1"/>
  <c r="D38" i="1"/>
  <c r="C61" i="1"/>
  <c r="D61" i="1"/>
  <c r="C106" i="1"/>
  <c r="D106" i="1"/>
  <c r="C36" i="1"/>
  <c r="D36" i="1"/>
  <c r="C59" i="1"/>
  <c r="D59" i="1"/>
  <c r="C104" i="1"/>
  <c r="D104" i="1"/>
  <c r="C39" i="1"/>
  <c r="D39" i="1"/>
  <c r="C62" i="1"/>
  <c r="D62" i="1"/>
  <c r="C107" i="1"/>
  <c r="D107" i="1"/>
  <c r="C30" i="1"/>
  <c r="D30" i="1"/>
  <c r="C189" i="1"/>
  <c r="D189" i="1"/>
  <c r="C293" i="1"/>
  <c r="D293" i="1"/>
  <c r="C457" i="1"/>
  <c r="D457" i="1"/>
  <c r="C31" i="1"/>
  <c r="D31" i="1"/>
  <c r="C53" i="1"/>
  <c r="D53" i="1"/>
  <c r="C88" i="1"/>
  <c r="D88" i="1"/>
  <c r="C114" i="1"/>
  <c r="D114" i="1"/>
  <c r="C147" i="1"/>
  <c r="D147" i="1"/>
  <c r="C237" i="1"/>
  <c r="D237" i="1"/>
  <c r="C294" i="1"/>
  <c r="D294" i="1"/>
  <c r="C321" i="1"/>
  <c r="D321" i="1"/>
  <c r="C341" i="1"/>
  <c r="D341" i="1"/>
  <c r="C399" i="1"/>
  <c r="D399" i="1"/>
  <c r="C495" i="1"/>
  <c r="D495" i="1"/>
  <c r="C12" i="1"/>
  <c r="D12" i="1"/>
  <c r="C14" i="1"/>
  <c r="D14" i="1"/>
  <c r="C66" i="1"/>
  <c r="D66" i="1"/>
  <c r="C79" i="1"/>
  <c r="D79" i="1"/>
  <c r="C176" i="1"/>
  <c r="D176" i="1"/>
  <c r="C190" i="1"/>
  <c r="D190" i="1"/>
  <c r="C198" i="1"/>
  <c r="D198" i="1"/>
  <c r="C427" i="1"/>
  <c r="D427" i="1"/>
  <c r="C54" i="1"/>
  <c r="D54" i="1"/>
  <c r="C129" i="1"/>
  <c r="D129" i="1"/>
  <c r="C238" i="1"/>
  <c r="D238" i="1"/>
  <c r="C342" i="1"/>
  <c r="D342" i="1"/>
  <c r="C496" i="1"/>
  <c r="D496" i="1"/>
  <c r="C218" i="1"/>
  <c r="D218" i="1"/>
  <c r="C252" i="1"/>
  <c r="D252" i="1"/>
  <c r="C295" i="1"/>
  <c r="D295" i="1"/>
  <c r="C310" i="1"/>
  <c r="D310" i="1"/>
  <c r="C343" i="1"/>
  <c r="D343" i="1"/>
  <c r="C372" i="1"/>
  <c r="D372" i="1"/>
  <c r="C400" i="1"/>
  <c r="D400" i="1"/>
  <c r="C428" i="1"/>
  <c r="D428" i="1"/>
  <c r="C473" i="1"/>
  <c r="D473" i="1"/>
  <c r="C7" i="1"/>
  <c r="D7" i="1"/>
  <c r="C25" i="1"/>
  <c r="D25" i="1"/>
  <c r="C69" i="1"/>
  <c r="D69" i="1"/>
  <c r="C70" i="1"/>
  <c r="D70" i="1"/>
  <c r="C111" i="1"/>
  <c r="D111" i="1"/>
  <c r="C121" i="1"/>
  <c r="D121" i="1"/>
  <c r="C159" i="1"/>
  <c r="D159" i="1"/>
  <c r="C180" i="1"/>
  <c r="D180" i="1"/>
  <c r="C202" i="1"/>
  <c r="D202" i="1"/>
  <c r="C203" i="1"/>
  <c r="D203" i="1"/>
  <c r="C227" i="1"/>
  <c r="D227" i="1"/>
  <c r="C243" i="1"/>
  <c r="D243" i="1"/>
  <c r="C249" i="1"/>
  <c r="D249" i="1"/>
  <c r="C261" i="1"/>
  <c r="D261" i="1"/>
  <c r="C262" i="1"/>
  <c r="D262" i="1"/>
  <c r="C263" i="1"/>
  <c r="D263" i="1"/>
  <c r="C272" i="1"/>
  <c r="D272" i="1"/>
  <c r="C277" i="1"/>
  <c r="D277" i="1"/>
  <c r="C278" i="1"/>
  <c r="D278" i="1"/>
  <c r="C283" i="1"/>
  <c r="D283" i="1"/>
  <c r="C287" i="1"/>
  <c r="D287" i="1"/>
  <c r="C315" i="1"/>
  <c r="D315" i="1"/>
  <c r="C322" i="1"/>
  <c r="D322" i="1"/>
  <c r="C348" i="1"/>
  <c r="D348" i="1"/>
  <c r="C349" i="1"/>
  <c r="D349" i="1"/>
  <c r="C405" i="1"/>
  <c r="D405" i="1"/>
  <c r="C424" i="1"/>
  <c r="D424" i="1"/>
  <c r="C441" i="1"/>
  <c r="D441" i="1"/>
  <c r="C486" i="1"/>
  <c r="D486" i="1"/>
  <c r="C487" i="1"/>
  <c r="D487" i="1"/>
  <c r="C501" i="1"/>
  <c r="D501" i="1"/>
  <c r="C502" i="1"/>
  <c r="D502" i="1"/>
  <c r="B32" i="48"/>
  <c r="W3" i="48"/>
  <c r="W4" i="48"/>
  <c r="W5" i="48"/>
  <c r="W6" i="48"/>
  <c r="W7" i="48"/>
  <c r="W8" i="48"/>
  <c r="W9" i="48"/>
  <c r="W10" i="48"/>
  <c r="W11" i="48"/>
  <c r="W12" i="48"/>
  <c r="W13" i="48"/>
  <c r="W14" i="48"/>
  <c r="W15" i="48"/>
  <c r="W16" i="48"/>
  <c r="W17" i="48"/>
  <c r="W18" i="48"/>
  <c r="W19" i="48"/>
  <c r="W20" i="48"/>
  <c r="W21" i="48"/>
  <c r="W22" i="48"/>
  <c r="W23" i="48"/>
  <c r="W24" i="48"/>
  <c r="W25" i="48"/>
  <c r="W26" i="48"/>
  <c r="W27" i="48"/>
  <c r="W28" i="48"/>
  <c r="W29" i="48"/>
  <c r="W30" i="48"/>
  <c r="W31" i="48"/>
  <c r="W32" i="48"/>
  <c r="W33" i="48"/>
  <c r="W34" i="48"/>
  <c r="W35" i="48"/>
  <c r="W36" i="48"/>
  <c r="W37" i="48"/>
  <c r="W38" i="48"/>
  <c r="W39" i="48"/>
  <c r="W40" i="48"/>
  <c r="W41" i="48"/>
  <c r="W42" i="48"/>
  <c r="W43" i="48"/>
  <c r="W44" i="48"/>
  <c r="W45" i="48"/>
  <c r="W46" i="48"/>
  <c r="W47" i="48"/>
  <c r="W48" i="48"/>
  <c r="W49" i="48"/>
  <c r="W50" i="48"/>
  <c r="W2" i="48"/>
  <c r="K3" i="48"/>
  <c r="K4" i="48"/>
  <c r="K5" i="48"/>
  <c r="K6" i="48"/>
  <c r="K7" i="48"/>
  <c r="K8" i="48"/>
  <c r="K9" i="48"/>
  <c r="K10" i="48"/>
  <c r="K11" i="48"/>
  <c r="K12" i="48"/>
  <c r="K13" i="48"/>
  <c r="K14" i="48"/>
  <c r="K15" i="48"/>
  <c r="K16" i="48"/>
  <c r="K17" i="48"/>
  <c r="K18" i="48"/>
  <c r="K19" i="48"/>
  <c r="K20" i="48"/>
  <c r="K21" i="48"/>
  <c r="K22" i="48"/>
  <c r="K23" i="48"/>
  <c r="K24" i="48"/>
  <c r="K25" i="48"/>
  <c r="K26" i="48"/>
  <c r="K27" i="48"/>
  <c r="K28" i="48"/>
  <c r="K29" i="48"/>
  <c r="K30" i="48"/>
  <c r="K31" i="48"/>
  <c r="K33" i="48"/>
  <c r="K34" i="48"/>
  <c r="K35" i="48"/>
  <c r="K36" i="48"/>
  <c r="K37" i="48"/>
  <c r="K38" i="48"/>
  <c r="K39" i="48"/>
  <c r="K40" i="48"/>
  <c r="K41" i="48"/>
  <c r="K42" i="48"/>
  <c r="K43" i="48"/>
  <c r="K44" i="48"/>
  <c r="K45" i="48"/>
  <c r="K46" i="48"/>
  <c r="K47" i="48"/>
  <c r="K48" i="48"/>
  <c r="K49" i="48"/>
  <c r="K50" i="48"/>
  <c r="K51" i="48"/>
  <c r="K2" i="48"/>
  <c r="G3" i="48"/>
  <c r="N3" i="48" s="1"/>
  <c r="G4" i="48"/>
  <c r="N4" i="48" s="1"/>
  <c r="G5" i="48"/>
  <c r="N5" i="48" s="1"/>
  <c r="G6" i="48"/>
  <c r="N6" i="48" s="1"/>
  <c r="G7" i="48"/>
  <c r="N7" i="48" s="1"/>
  <c r="G8" i="48"/>
  <c r="N8" i="48" s="1"/>
  <c r="G9" i="48"/>
  <c r="N9" i="48" s="1"/>
  <c r="G10" i="48"/>
  <c r="N10" i="48" s="1"/>
  <c r="G11" i="48"/>
  <c r="N11" i="48" s="1"/>
  <c r="G12" i="48"/>
  <c r="N12" i="48" s="1"/>
  <c r="G13" i="48"/>
  <c r="N13" i="48" s="1"/>
  <c r="G14" i="48"/>
  <c r="N14" i="48" s="1"/>
  <c r="G15" i="48"/>
  <c r="N15" i="48" s="1"/>
  <c r="G16" i="48"/>
  <c r="N16" i="48" s="1"/>
  <c r="G17" i="48"/>
  <c r="N17" i="48" s="1"/>
  <c r="G18" i="48"/>
  <c r="N18" i="48" s="1"/>
  <c r="G19" i="48"/>
  <c r="N19" i="48" s="1"/>
  <c r="G20" i="48"/>
  <c r="N20" i="48" s="1"/>
  <c r="G21" i="48"/>
  <c r="N21" i="48" s="1"/>
  <c r="G22" i="48"/>
  <c r="N22" i="48" s="1"/>
  <c r="G23" i="48"/>
  <c r="N23" i="48" s="1"/>
  <c r="G24" i="48"/>
  <c r="N24" i="48" s="1"/>
  <c r="G25" i="48"/>
  <c r="N25" i="48" s="1"/>
  <c r="G26" i="48"/>
  <c r="N26" i="48" s="1"/>
  <c r="G27" i="48"/>
  <c r="N27" i="48" s="1"/>
  <c r="G28" i="48"/>
  <c r="N28" i="48" s="1"/>
  <c r="G29" i="48"/>
  <c r="N29" i="48" s="1"/>
  <c r="G30" i="48"/>
  <c r="N30" i="48" s="1"/>
  <c r="G31" i="48"/>
  <c r="N31" i="48" s="1"/>
  <c r="G32" i="48"/>
  <c r="N32" i="48" s="1"/>
  <c r="G33" i="48"/>
  <c r="N33" i="48" s="1"/>
  <c r="G34" i="48"/>
  <c r="N34" i="48" s="1"/>
  <c r="G35" i="48"/>
  <c r="N35" i="48" s="1"/>
  <c r="G36" i="48"/>
  <c r="N36" i="48" s="1"/>
  <c r="G37" i="48"/>
  <c r="N37" i="48" s="1"/>
  <c r="G38" i="48"/>
  <c r="N38" i="48" s="1"/>
  <c r="G39" i="48"/>
  <c r="N39" i="48" s="1"/>
  <c r="G40" i="48"/>
  <c r="N40" i="48" s="1"/>
  <c r="G41" i="48"/>
  <c r="N41" i="48" s="1"/>
  <c r="G42" i="48"/>
  <c r="N42" i="48" s="1"/>
  <c r="G43" i="48"/>
  <c r="N43" i="48" s="1"/>
  <c r="G44" i="48"/>
  <c r="N44" i="48" s="1"/>
  <c r="G45" i="48"/>
  <c r="N45" i="48" s="1"/>
  <c r="G46" i="48"/>
  <c r="N46" i="48" s="1"/>
  <c r="G47" i="48"/>
  <c r="N47" i="48" s="1"/>
  <c r="G48" i="48"/>
  <c r="N48" i="48" s="1"/>
  <c r="G49" i="48"/>
  <c r="N49" i="48" s="1"/>
  <c r="G50" i="48"/>
  <c r="N50" i="48" s="1"/>
  <c r="G51" i="48"/>
  <c r="N51" i="48" s="1"/>
  <c r="G2" i="48"/>
  <c r="N2" i="48" s="1"/>
  <c r="E3" i="48"/>
  <c r="E4" i="48"/>
  <c r="E5" i="48"/>
  <c r="E6" i="48"/>
  <c r="E7" i="48"/>
  <c r="E8" i="48"/>
  <c r="E9" i="48"/>
  <c r="E10" i="48"/>
  <c r="E11" i="48"/>
  <c r="E12" i="48"/>
  <c r="E13" i="48"/>
  <c r="E14" i="48"/>
  <c r="E15" i="48"/>
  <c r="E16" i="48"/>
  <c r="E17" i="48"/>
  <c r="E18" i="48"/>
  <c r="E19" i="48"/>
  <c r="E20" i="48"/>
  <c r="E21" i="48"/>
  <c r="E22" i="48"/>
  <c r="E23" i="48"/>
  <c r="E24" i="48"/>
  <c r="E25" i="48"/>
  <c r="E26" i="48"/>
  <c r="E27" i="48"/>
  <c r="E28" i="48"/>
  <c r="E29" i="48"/>
  <c r="E30" i="48"/>
  <c r="E31" i="48"/>
  <c r="E32" i="48"/>
  <c r="E33" i="48"/>
  <c r="E34" i="48"/>
  <c r="E35" i="48"/>
  <c r="E36" i="48"/>
  <c r="E37" i="48"/>
  <c r="E38" i="48"/>
  <c r="E39" i="48"/>
  <c r="E40" i="48"/>
  <c r="E41" i="48"/>
  <c r="E42" i="48"/>
  <c r="E43" i="48"/>
  <c r="E44" i="48"/>
  <c r="E45" i="48"/>
  <c r="E46" i="48"/>
  <c r="E47" i="48"/>
  <c r="E48" i="48"/>
  <c r="E49" i="48"/>
  <c r="E50" i="48"/>
  <c r="E51" i="48"/>
  <c r="E2" i="48"/>
  <c r="D3" i="48"/>
  <c r="D4" i="48"/>
  <c r="D5" i="48"/>
  <c r="D6" i="48"/>
  <c r="D7" i="48"/>
  <c r="D8" i="48"/>
  <c r="D9" i="48"/>
  <c r="D10" i="48"/>
  <c r="D11" i="48"/>
  <c r="D12" i="48"/>
  <c r="D13" i="48"/>
  <c r="D14" i="48"/>
  <c r="D15" i="48"/>
  <c r="D16" i="48"/>
  <c r="D17" i="48"/>
  <c r="D18" i="48"/>
  <c r="D19" i="48"/>
  <c r="D20" i="48"/>
  <c r="D21" i="48"/>
  <c r="D22" i="48"/>
  <c r="D23" i="48"/>
  <c r="D24" i="48"/>
  <c r="D25" i="48"/>
  <c r="D26" i="48"/>
  <c r="D27" i="48"/>
  <c r="D28" i="48"/>
  <c r="D29" i="48"/>
  <c r="D30" i="48"/>
  <c r="D31" i="48"/>
  <c r="D32" i="48"/>
  <c r="D33" i="48"/>
  <c r="D34" i="48"/>
  <c r="D35" i="48"/>
  <c r="D36" i="48"/>
  <c r="D37" i="48"/>
  <c r="D38" i="48"/>
  <c r="D39" i="48"/>
  <c r="D40" i="48"/>
  <c r="D41" i="48"/>
  <c r="D42" i="48"/>
  <c r="D43" i="48"/>
  <c r="D44" i="48"/>
  <c r="D45" i="48"/>
  <c r="D46" i="48"/>
  <c r="D47" i="48"/>
  <c r="D48" i="48"/>
  <c r="D49" i="48"/>
  <c r="D50" i="48"/>
  <c r="D51" i="48"/>
  <c r="D2" i="48"/>
  <c r="H6" i="54" l="1"/>
  <c r="H5" i="54"/>
  <c r="H4" i="54"/>
  <c r="CS14" i="53"/>
  <c r="CR14" i="53"/>
  <c r="CQ14" i="53"/>
  <c r="CP14" i="53"/>
  <c r="CO14" i="53"/>
  <c r="CN14" i="53"/>
  <c r="CM14" i="53"/>
  <c r="CL14" i="53"/>
  <c r="CK14" i="53"/>
  <c r="CJ14" i="53"/>
  <c r="CI14" i="53"/>
  <c r="CH14" i="53"/>
  <c r="CG14" i="53"/>
  <c r="CF14" i="53"/>
  <c r="CE14" i="53"/>
  <c r="CD14" i="53"/>
  <c r="CC14" i="53"/>
  <c r="CB14" i="53"/>
  <c r="CA14" i="53"/>
  <c r="BZ14" i="53"/>
  <c r="BY14" i="53"/>
  <c r="BX14" i="53"/>
  <c r="BW14" i="53"/>
  <c r="BV14" i="53"/>
  <c r="BU14" i="53"/>
  <c r="BT14" i="53"/>
  <c r="BS14" i="53"/>
  <c r="BR14" i="53"/>
  <c r="BQ14" i="53"/>
  <c r="BP14" i="53"/>
  <c r="BO14" i="53"/>
  <c r="BN14" i="53"/>
  <c r="BM14" i="53"/>
  <c r="BL14" i="53"/>
  <c r="BK14" i="53"/>
  <c r="BJ14" i="53"/>
  <c r="BI14" i="53"/>
  <c r="BH14" i="53"/>
  <c r="BG14" i="53"/>
  <c r="BF14" i="53"/>
  <c r="BE14" i="53"/>
  <c r="BD14" i="53"/>
  <c r="BC14" i="53"/>
  <c r="BB14" i="53"/>
  <c r="BA14" i="53"/>
  <c r="AZ14" i="53"/>
  <c r="AY14" i="53"/>
  <c r="AX14" i="53"/>
  <c r="AW14" i="53"/>
  <c r="AV14" i="53"/>
  <c r="AU14" i="53"/>
  <c r="AT14" i="53"/>
  <c r="AS14" i="53"/>
  <c r="AR14" i="53"/>
  <c r="AQ14" i="53"/>
  <c r="AP14" i="53"/>
  <c r="AO14" i="53"/>
  <c r="AN14" i="53"/>
  <c r="AM14" i="53"/>
  <c r="AL14" i="53"/>
  <c r="AK14" i="53"/>
  <c r="AJ14" i="53"/>
  <c r="AI14" i="53"/>
  <c r="AH14" i="53"/>
  <c r="AG14" i="53"/>
  <c r="AF14" i="53"/>
  <c r="AE14" i="53"/>
  <c r="AD14" i="53"/>
  <c r="AC14" i="53"/>
  <c r="AB14" i="53"/>
  <c r="AA14" i="53"/>
  <c r="Z14" i="53"/>
  <c r="Y14" i="53"/>
  <c r="X14" i="53"/>
  <c r="W14" i="53"/>
  <c r="V14" i="53"/>
  <c r="U14" i="53"/>
  <c r="T14" i="53"/>
  <c r="S14" i="53"/>
  <c r="R14" i="53"/>
  <c r="Q14" i="53"/>
  <c r="P14" i="53"/>
  <c r="O14" i="53"/>
  <c r="N14" i="53"/>
  <c r="M14" i="53"/>
  <c r="L14" i="53"/>
  <c r="K14" i="53"/>
  <c r="J14" i="53"/>
  <c r="I14" i="53"/>
  <c r="H14" i="53"/>
  <c r="G14" i="53"/>
  <c r="F14" i="53"/>
  <c r="E14" i="53"/>
  <c r="D14" i="53"/>
  <c r="C14" i="53"/>
  <c r="B14" i="53"/>
  <c r="B3" i="48" l="1"/>
  <c r="B4" i="48"/>
  <c r="B5" i="48"/>
  <c r="B6" i="48"/>
  <c r="B7" i="48"/>
  <c r="B8" i="48"/>
  <c r="B9" i="48"/>
  <c r="B10" i="48"/>
  <c r="B11" i="48"/>
  <c r="B12" i="48"/>
  <c r="B13" i="48"/>
  <c r="B14" i="48"/>
  <c r="B15" i="48"/>
  <c r="B16" i="48"/>
  <c r="B17" i="48"/>
  <c r="B18" i="48"/>
  <c r="B19" i="48"/>
  <c r="B20" i="48"/>
  <c r="B21" i="48"/>
  <c r="B22" i="48"/>
  <c r="B23" i="48"/>
  <c r="B24" i="48"/>
  <c r="B25" i="48"/>
  <c r="B26" i="48"/>
  <c r="B27" i="48"/>
  <c r="B28" i="48"/>
  <c r="B29" i="48"/>
  <c r="B30" i="48"/>
  <c r="B31" i="48"/>
  <c r="B33" i="48"/>
  <c r="B34" i="48"/>
  <c r="B35" i="48"/>
  <c r="B36" i="48"/>
  <c r="B37" i="48"/>
  <c r="B38" i="48"/>
  <c r="B39" i="48"/>
  <c r="B40" i="48"/>
  <c r="B41" i="48"/>
  <c r="B42" i="48"/>
  <c r="B43" i="48"/>
  <c r="B44" i="48"/>
  <c r="B45" i="48"/>
  <c r="B46" i="48"/>
  <c r="B47" i="48"/>
  <c r="B48" i="48"/>
  <c r="B49" i="48"/>
  <c r="B50" i="48"/>
  <c r="B51" i="48"/>
  <c r="B2" i="48"/>
  <c r="H36" i="48"/>
  <c r="I36" i="48"/>
  <c r="M36" i="48" s="1"/>
  <c r="H37" i="48"/>
  <c r="I37" i="48" s="1"/>
  <c r="M37" i="48" s="1"/>
  <c r="H38" i="48"/>
  <c r="I38" i="48"/>
  <c r="M38" i="48" s="1"/>
  <c r="H39" i="48"/>
  <c r="I39" i="48"/>
  <c r="M39" i="48" s="1"/>
  <c r="H40" i="48"/>
  <c r="I40" i="48"/>
  <c r="M40" i="48" s="1"/>
  <c r="H41" i="48"/>
  <c r="I41" i="48"/>
  <c r="M41" i="48" s="1"/>
  <c r="H42" i="48"/>
  <c r="I42" i="48" s="1"/>
  <c r="M42" i="48" s="1"/>
  <c r="H43" i="48"/>
  <c r="I43" i="48"/>
  <c r="M43" i="48" s="1"/>
  <c r="H44" i="48"/>
  <c r="I44" i="48" s="1"/>
  <c r="M44" i="48" s="1"/>
  <c r="H45" i="48"/>
  <c r="I45" i="48" s="1"/>
  <c r="M45" i="48" s="1"/>
  <c r="H46" i="48"/>
  <c r="I46" i="48" s="1"/>
  <c r="M46" i="48" s="1"/>
  <c r="L36" i="48"/>
  <c r="U36" i="48"/>
  <c r="L37" i="48"/>
  <c r="U37" i="48"/>
  <c r="L38" i="48"/>
  <c r="U38" i="48"/>
  <c r="L39" i="48"/>
  <c r="U39" i="48"/>
  <c r="L40" i="48"/>
  <c r="U40" i="48"/>
  <c r="L41" i="48"/>
  <c r="U41" i="48"/>
  <c r="L42" i="48"/>
  <c r="U42" i="48"/>
  <c r="L43" i="48"/>
  <c r="U43" i="48"/>
  <c r="L44" i="48"/>
  <c r="U44" i="48"/>
  <c r="L45" i="48"/>
  <c r="U45" i="48"/>
  <c r="L46" i="48"/>
  <c r="U46" i="48"/>
  <c r="AM473" i="1"/>
  <c r="AM428" i="1"/>
  <c r="AM400" i="1"/>
  <c r="AM496" i="1"/>
  <c r="AM427" i="1"/>
  <c r="AM495" i="1"/>
  <c r="AM399" i="1"/>
  <c r="AM457" i="1"/>
  <c r="AM507" i="1"/>
  <c r="AM494" i="1"/>
  <c r="AM493" i="1"/>
  <c r="AM467" i="1"/>
  <c r="AM456" i="1"/>
  <c r="AM445" i="1"/>
  <c r="AM426" i="1"/>
  <c r="AM418" i="1"/>
  <c r="AM408" i="1"/>
  <c r="AM511" i="1"/>
  <c r="AM492" i="1"/>
  <c r="AM466" i="1"/>
  <c r="AM444" i="1"/>
  <c r="AM386" i="1"/>
  <c r="AM460" i="1"/>
  <c r="AM436" i="1"/>
  <c r="AM434" i="1"/>
  <c r="AM412" i="1"/>
  <c r="AM394" i="1"/>
  <c r="AM391" i="1"/>
  <c r="AM385" i="1"/>
  <c r="AM506" i="1"/>
  <c r="AM465" i="1"/>
  <c r="AM417" i="1"/>
  <c r="AM491" i="1"/>
  <c r="AM505" i="1"/>
  <c r="AM464" i="1"/>
  <c r="AM443" i="1"/>
  <c r="AM416" i="1"/>
  <c r="AM398" i="1"/>
  <c r="AM490" i="1"/>
  <c r="AM463" i="1"/>
  <c r="AM447" i="1"/>
  <c r="AM419" i="1"/>
  <c r="AM390" i="1"/>
  <c r="AM508" i="1"/>
  <c r="AM455" i="1"/>
  <c r="AM510" i="1"/>
  <c r="AM497" i="1"/>
  <c r="AM475" i="1"/>
  <c r="AM433" i="1"/>
  <c r="AM411" i="1"/>
  <c r="AM389" i="1"/>
  <c r="AM499" i="1"/>
  <c r="AM481" i="1"/>
  <c r="AM472" i="1"/>
  <c r="AM446" i="1"/>
  <c r="AM477" i="1"/>
  <c r="AM383" i="1"/>
  <c r="AM470" i="1"/>
  <c r="AM435" i="1"/>
  <c r="AM410" i="1"/>
  <c r="AM407" i="1"/>
  <c r="AM393" i="1"/>
  <c r="AM504" i="1"/>
  <c r="AM489" i="1"/>
  <c r="AM480" i="1"/>
  <c r="AM468" i="1"/>
  <c r="AM454" i="1"/>
  <c r="AM425" i="1"/>
  <c r="AM420" i="1"/>
  <c r="AM401" i="1"/>
  <c r="AM388" i="1"/>
  <c r="AM503" i="1"/>
  <c r="AM478" i="1"/>
  <c r="AM432" i="1"/>
  <c r="AM397" i="1"/>
  <c r="AM488" i="1"/>
  <c r="AM462" i="1"/>
  <c r="AM442" i="1"/>
  <c r="AM415" i="1"/>
  <c r="AM498" i="1"/>
  <c r="AM476" i="1"/>
  <c r="AM459" i="1"/>
  <c r="AM431" i="1"/>
  <c r="AM413" i="1"/>
  <c r="AM392" i="1"/>
  <c r="AM509" i="1"/>
  <c r="AM479" i="1"/>
  <c r="AM474" i="1"/>
  <c r="AM471" i="1"/>
  <c r="AM469" i="1"/>
  <c r="AM458" i="1"/>
  <c r="AM430" i="1"/>
  <c r="AM429" i="1"/>
  <c r="AM409" i="1"/>
  <c r="AM406" i="1"/>
  <c r="AM387" i="1"/>
  <c r="AM502" i="1"/>
  <c r="AM501" i="1"/>
  <c r="AM487" i="1"/>
  <c r="AM486" i="1"/>
  <c r="AM441" i="1"/>
  <c r="AM424" i="1"/>
  <c r="AM405" i="1"/>
  <c r="AM423" i="1"/>
  <c r="AM485" i="1"/>
  <c r="AM404" i="1"/>
  <c r="AM440" i="1"/>
  <c r="AM422" i="1"/>
  <c r="AM500" i="1"/>
  <c r="AM484" i="1"/>
  <c r="AM483" i="1"/>
  <c r="AM453" i="1"/>
  <c r="AM452" i="1"/>
  <c r="AM439" i="1"/>
  <c r="AM438" i="1"/>
  <c r="AM421" i="1"/>
  <c r="AM414" i="1"/>
  <c r="AM403" i="1"/>
  <c r="AM402" i="1"/>
  <c r="AM396" i="1"/>
  <c r="AM450" i="1"/>
  <c r="AM461" i="1"/>
  <c r="AM384" i="1"/>
  <c r="AM437" i="1"/>
  <c r="AM448" i="1"/>
  <c r="AM449" i="1"/>
  <c r="AM482" i="1"/>
  <c r="AM451" i="1"/>
  <c r="AM372" i="1"/>
  <c r="AM343" i="1"/>
  <c r="AM310" i="1"/>
  <c r="AM295" i="1"/>
  <c r="AM252" i="1"/>
  <c r="AM342" i="1"/>
  <c r="AM341" i="1"/>
  <c r="AM321" i="1"/>
  <c r="AM294" i="1"/>
  <c r="AM293" i="1"/>
  <c r="AM371" i="1"/>
  <c r="AM354" i="1"/>
  <c r="AM309" i="1"/>
  <c r="AM308" i="1"/>
  <c r="AM292" i="1"/>
  <c r="AM251" i="1"/>
  <c r="AM274" i="1"/>
  <c r="AM267" i="1"/>
  <c r="AM353" i="1"/>
  <c r="AM307" i="1"/>
  <c r="AM250" i="1"/>
  <c r="AM377" i="1"/>
  <c r="AM375" i="1"/>
  <c r="AM370" i="1"/>
  <c r="AM359" i="1"/>
  <c r="AM357" i="1"/>
  <c r="AM352" i="1"/>
  <c r="AM329" i="1"/>
  <c r="AM328" i="1"/>
  <c r="AM327" i="1"/>
  <c r="AM326" i="1"/>
  <c r="AM320" i="1"/>
  <c r="AM306" i="1"/>
  <c r="AM276" i="1"/>
  <c r="AM273" i="1"/>
  <c r="AM271" i="1"/>
  <c r="AM268" i="1"/>
  <c r="AM369" i="1"/>
  <c r="AM332" i="1"/>
  <c r="AM291" i="1"/>
  <c r="AM381" i="1"/>
  <c r="AM361" i="1"/>
  <c r="AM340" i="1"/>
  <c r="AM319" i="1"/>
  <c r="AM380" i="1"/>
  <c r="AM360" i="1"/>
  <c r="AM331" i="1"/>
  <c r="AM325" i="1"/>
  <c r="AM305" i="1"/>
  <c r="AM280" i="1"/>
  <c r="AM368" i="1"/>
  <c r="AM339" i="1"/>
  <c r="AM318" i="1"/>
  <c r="AM356" i="1"/>
  <c r="AM324" i="1"/>
  <c r="AM296" i="1"/>
  <c r="AM282" i="1"/>
  <c r="AM362" i="1"/>
  <c r="AM363" i="1"/>
  <c r="AM330" i="1"/>
  <c r="AM358" i="1"/>
  <c r="AM313" i="1"/>
  <c r="AM299" i="1"/>
  <c r="AM284" i="1"/>
  <c r="AM270" i="1"/>
  <c r="AM269" i="1"/>
  <c r="AM256" i="1"/>
  <c r="AM255" i="1"/>
  <c r="AM298" i="1"/>
  <c r="AM351" i="1"/>
  <c r="AM344" i="1"/>
  <c r="AM334" i="1"/>
  <c r="AM304" i="1"/>
  <c r="AM303" i="1"/>
  <c r="AM266" i="1"/>
  <c r="AM265" i="1"/>
  <c r="AM264" i="1"/>
  <c r="AM254" i="1"/>
  <c r="AM253" i="1"/>
  <c r="AM290" i="1"/>
  <c r="AM379" i="1"/>
  <c r="AM374" i="1"/>
  <c r="AM338" i="1"/>
  <c r="AM317" i="1"/>
  <c r="AM289" i="1"/>
  <c r="AM279" i="1"/>
  <c r="AM367" i="1"/>
  <c r="AM337" i="1"/>
  <c r="AM316" i="1"/>
  <c r="AM376" i="1"/>
  <c r="AM355" i="1"/>
  <c r="AM333" i="1"/>
  <c r="AM312" i="1"/>
  <c r="AM281" i="1"/>
  <c r="AM246" i="1"/>
  <c r="AM378" i="1"/>
  <c r="AM373" i="1"/>
  <c r="AM350" i="1"/>
  <c r="AM323" i="1"/>
  <c r="AM311" i="1"/>
  <c r="AM297" i="1"/>
  <c r="AM288" i="1"/>
  <c r="AM275" i="1"/>
  <c r="AM349" i="1"/>
  <c r="AM348" i="1"/>
  <c r="AM322" i="1"/>
  <c r="AM315" i="1"/>
  <c r="AM287" i="1"/>
  <c r="AM283" i="1"/>
  <c r="AM278" i="1"/>
  <c r="AM277" i="1"/>
  <c r="AM272" i="1"/>
  <c r="AM263" i="1"/>
  <c r="AM262" i="1"/>
  <c r="AM261" i="1"/>
  <c r="AM249" i="1"/>
  <c r="AM366" i="1"/>
  <c r="AM302" i="1"/>
  <c r="AM260" i="1"/>
  <c r="AM286" i="1"/>
  <c r="AM365" i="1"/>
  <c r="AM347" i="1"/>
  <c r="AM346" i="1"/>
  <c r="AM336" i="1"/>
  <c r="AM335" i="1"/>
  <c r="AM301" i="1"/>
  <c r="AM285" i="1"/>
  <c r="AM259" i="1"/>
  <c r="AM258" i="1"/>
  <c r="AM248" i="1"/>
  <c r="AM382" i="1"/>
  <c r="AM257" i="1"/>
  <c r="AM345" i="1"/>
  <c r="AM314" i="1"/>
  <c r="AM247" i="1"/>
  <c r="AM364" i="1"/>
  <c r="AM218" i="1"/>
  <c r="AM238" i="1"/>
  <c r="AM129" i="1"/>
  <c r="AM198" i="1"/>
  <c r="AM190" i="1"/>
  <c r="AM176" i="1"/>
  <c r="AM237" i="1"/>
  <c r="AM147" i="1"/>
  <c r="AM114" i="1"/>
  <c r="AM189" i="1"/>
  <c r="AM196" i="1"/>
  <c r="AM188" i="1"/>
  <c r="AM152" i="1"/>
  <c r="AM146" i="1"/>
  <c r="AM128" i="1"/>
  <c r="AM113" i="1"/>
  <c r="AM236" i="1"/>
  <c r="AM207" i="1"/>
  <c r="AM187" i="1"/>
  <c r="AM151" i="1"/>
  <c r="AM145" i="1"/>
  <c r="AM127" i="1"/>
  <c r="AM241" i="1"/>
  <c r="AM239" i="1"/>
  <c r="AM235" i="1"/>
  <c r="AM168" i="1"/>
  <c r="AM133" i="1"/>
  <c r="AM132" i="1"/>
  <c r="AM126" i="1"/>
  <c r="AM234" i="1"/>
  <c r="AM186" i="1"/>
  <c r="AM125" i="1"/>
  <c r="AM244" i="1"/>
  <c r="AM124" i="1"/>
  <c r="AM233" i="1"/>
  <c r="AM206" i="1"/>
  <c r="AM185" i="1"/>
  <c r="AM139" i="1"/>
  <c r="AM115" i="1"/>
  <c r="AM232" i="1"/>
  <c r="AM205" i="1"/>
  <c r="AM184" i="1"/>
  <c r="AM164" i="1"/>
  <c r="AM144" i="1"/>
  <c r="AM123" i="1"/>
  <c r="AM231" i="1"/>
  <c r="AM138" i="1"/>
  <c r="AM245" i="1"/>
  <c r="AM209" i="1"/>
  <c r="AM171" i="1"/>
  <c r="AM154" i="1"/>
  <c r="AM137" i="1"/>
  <c r="AM175" i="1"/>
  <c r="AM169" i="1"/>
  <c r="AM135" i="1"/>
  <c r="AM109" i="1"/>
  <c r="AM240" i="1"/>
  <c r="AM225" i="1"/>
  <c r="AM224" i="1"/>
  <c r="AM211" i="1"/>
  <c r="AM199" i="1"/>
  <c r="AM192" i="1"/>
  <c r="AM191" i="1"/>
  <c r="AM177" i="1"/>
  <c r="AM167" i="1"/>
  <c r="AM156" i="1"/>
  <c r="AM134" i="1"/>
  <c r="AM230" i="1"/>
  <c r="AM229" i="1"/>
  <c r="AM222" i="1"/>
  <c r="AM217" i="1"/>
  <c r="AM208" i="1"/>
  <c r="AM195" i="1"/>
  <c r="AM183" i="1"/>
  <c r="AM182" i="1"/>
  <c r="AM174" i="1"/>
  <c r="AM173" i="1"/>
  <c r="AM163" i="1"/>
  <c r="AM162" i="1"/>
  <c r="AM153" i="1"/>
  <c r="AM140" i="1"/>
  <c r="AM131" i="1"/>
  <c r="AM122" i="1"/>
  <c r="AM216" i="1"/>
  <c r="AM194" i="1"/>
  <c r="AM161" i="1"/>
  <c r="AM143" i="1"/>
  <c r="AM112" i="1"/>
  <c r="AM228" i="1"/>
  <c r="AM204" i="1"/>
  <c r="AM181" i="1"/>
  <c r="AM160" i="1"/>
  <c r="AM142" i="1"/>
  <c r="AM221" i="1"/>
  <c r="AM197" i="1"/>
  <c r="AM172" i="1"/>
  <c r="AM155" i="1"/>
  <c r="AM148" i="1"/>
  <c r="AM130" i="1"/>
  <c r="AM215" i="1"/>
  <c r="AM170" i="1"/>
  <c r="AM136" i="1"/>
  <c r="AM243" i="1"/>
  <c r="AM227" i="1"/>
  <c r="AM203" i="1"/>
  <c r="AM202" i="1"/>
  <c r="AM180" i="1"/>
  <c r="AM159" i="1"/>
  <c r="AM121" i="1"/>
  <c r="AM111" i="1"/>
  <c r="AM223" i="1"/>
  <c r="AM120" i="1"/>
  <c r="AM242" i="1"/>
  <c r="AM226" i="1"/>
  <c r="AM214" i="1"/>
  <c r="AM201" i="1"/>
  <c r="AM158" i="1"/>
  <c r="AM150" i="1"/>
  <c r="AM149" i="1"/>
  <c r="AM141" i="1"/>
  <c r="AM119" i="1"/>
  <c r="AM118" i="1"/>
  <c r="AM110" i="1"/>
  <c r="AM179" i="1"/>
  <c r="AM117" i="1"/>
  <c r="AM213" i="1"/>
  <c r="AM157" i="1"/>
  <c r="AM193" i="1"/>
  <c r="AM220" i="1"/>
  <c r="AM166" i="1"/>
  <c r="AM210" i="1"/>
  <c r="AM219" i="1"/>
  <c r="AM165" i="1"/>
  <c r="AM200" i="1"/>
  <c r="AM212" i="1"/>
  <c r="AM178" i="1"/>
  <c r="AM54" i="1"/>
  <c r="AM79" i="1"/>
  <c r="AM66" i="1"/>
  <c r="AM14" i="1"/>
  <c r="AM12" i="1"/>
  <c r="AM88" i="1"/>
  <c r="AM53" i="1"/>
  <c r="AM31" i="1"/>
  <c r="AM30" i="1"/>
  <c r="AM107" i="1"/>
  <c r="AM62" i="1"/>
  <c r="AM39" i="1"/>
  <c r="AM104" i="1"/>
  <c r="AM59" i="1"/>
  <c r="AM36" i="1"/>
  <c r="AM106" i="1"/>
  <c r="AM61" i="1"/>
  <c r="AM38" i="1"/>
  <c r="AM103" i="1"/>
  <c r="AM58" i="1"/>
  <c r="AM35" i="1"/>
  <c r="AM96" i="1"/>
  <c r="AM52" i="1"/>
  <c r="AM29" i="1"/>
  <c r="AM100" i="1"/>
  <c r="AM56" i="1"/>
  <c r="AM33" i="1"/>
  <c r="AM99" i="1"/>
  <c r="AM55" i="1"/>
  <c r="AM32" i="1"/>
  <c r="AM102" i="1"/>
  <c r="AM57" i="1"/>
  <c r="AM34" i="1"/>
  <c r="AM105" i="1"/>
  <c r="AM60" i="1"/>
  <c r="AM37" i="1"/>
  <c r="AM87" i="1"/>
  <c r="AM78" i="1"/>
  <c r="AM45" i="1"/>
  <c r="AM11" i="1"/>
  <c r="AM93" i="1"/>
  <c r="AM77" i="1"/>
  <c r="AM44" i="1"/>
  <c r="AM76" i="1"/>
  <c r="AM86" i="1"/>
  <c r="AM92" i="1"/>
  <c r="AM75" i="1"/>
  <c r="AM51" i="1"/>
  <c r="AM28" i="1"/>
  <c r="AM10" i="1"/>
  <c r="AM95" i="1"/>
  <c r="AM85" i="1"/>
  <c r="AM74" i="1"/>
  <c r="AM50" i="1"/>
  <c r="AM27" i="1"/>
  <c r="AM13" i="1"/>
  <c r="AM4" i="1"/>
  <c r="AM73" i="1"/>
  <c r="AM49" i="1"/>
  <c r="AM94" i="1"/>
  <c r="AM65" i="1"/>
  <c r="AM46" i="1"/>
  <c r="AM17" i="1"/>
  <c r="AM64" i="1"/>
  <c r="AM108" i="1"/>
  <c r="AM82" i="1"/>
  <c r="AM63" i="1"/>
  <c r="AM15" i="1"/>
  <c r="AM84" i="1"/>
  <c r="AM72" i="1"/>
  <c r="AM48" i="1"/>
  <c r="AM26" i="1"/>
  <c r="AM9" i="1"/>
  <c r="AM98" i="1"/>
  <c r="AM83" i="1"/>
  <c r="AM71" i="1"/>
  <c r="AM43" i="1"/>
  <c r="AM8" i="1"/>
  <c r="AM89" i="1"/>
  <c r="AM80" i="1"/>
  <c r="AM5" i="1"/>
  <c r="AM70" i="1"/>
  <c r="AM69" i="1"/>
  <c r="AM25" i="1"/>
  <c r="AM7" i="1"/>
  <c r="AM21" i="1"/>
  <c r="AM24" i="1"/>
  <c r="AM91" i="1"/>
  <c r="AM42" i="1"/>
  <c r="AM23" i="1"/>
  <c r="AM6" i="1"/>
  <c r="AM101" i="1"/>
  <c r="AM81" i="1"/>
  <c r="AM20" i="1"/>
  <c r="AM90" i="1"/>
  <c r="AM68" i="1"/>
  <c r="AM41" i="1"/>
  <c r="AM16" i="1"/>
  <c r="AM22" i="1"/>
  <c r="AM19" i="1"/>
  <c r="AM47" i="1"/>
  <c r="AM18" i="1"/>
  <c r="AM40" i="1"/>
  <c r="AM97" i="1"/>
  <c r="S299" i="1"/>
  <c r="T299" i="1"/>
  <c r="U299" i="1"/>
  <c r="S5" i="1"/>
  <c r="T5" i="1"/>
  <c r="U5" i="1"/>
  <c r="S6" i="1"/>
  <c r="T6" i="1"/>
  <c r="U6" i="1"/>
  <c r="S8" i="1"/>
  <c r="T8" i="1"/>
  <c r="U8" i="1"/>
  <c r="S9" i="1"/>
  <c r="T9" i="1"/>
  <c r="U9" i="1"/>
  <c r="S10" i="1"/>
  <c r="T10" i="1"/>
  <c r="U10" i="1"/>
  <c r="S11" i="1"/>
  <c r="T11" i="1"/>
  <c r="U11" i="1"/>
  <c r="S12" i="1"/>
  <c r="T12" i="1"/>
  <c r="U12" i="1"/>
  <c r="S13" i="1"/>
  <c r="T13" i="1"/>
  <c r="U13" i="1"/>
  <c r="S14" i="1"/>
  <c r="T14" i="1"/>
  <c r="U14" i="1"/>
  <c r="S15" i="1"/>
  <c r="T15" i="1"/>
  <c r="U15" i="1"/>
  <c r="S16" i="1"/>
  <c r="T16" i="1"/>
  <c r="U16" i="1"/>
  <c r="S17" i="1"/>
  <c r="T17" i="1"/>
  <c r="U17" i="1"/>
  <c r="S18" i="1"/>
  <c r="T18" i="1"/>
  <c r="U18" i="1"/>
  <c r="S19" i="1"/>
  <c r="T19" i="1"/>
  <c r="U19" i="1"/>
  <c r="S20" i="1"/>
  <c r="T20" i="1"/>
  <c r="U20" i="1"/>
  <c r="S21" i="1"/>
  <c r="T21" i="1"/>
  <c r="U21" i="1"/>
  <c r="S22" i="1"/>
  <c r="T22" i="1"/>
  <c r="U22" i="1"/>
  <c r="S23" i="1"/>
  <c r="T23" i="1"/>
  <c r="U23" i="1"/>
  <c r="S24" i="1"/>
  <c r="T24" i="1"/>
  <c r="U24" i="1"/>
  <c r="S26" i="1"/>
  <c r="T26" i="1"/>
  <c r="U26" i="1"/>
  <c r="S27" i="1"/>
  <c r="T27" i="1"/>
  <c r="U27" i="1"/>
  <c r="S28" i="1"/>
  <c r="T28" i="1"/>
  <c r="U28" i="1"/>
  <c r="S29" i="1"/>
  <c r="T29" i="1"/>
  <c r="U29" i="1"/>
  <c r="S30" i="1"/>
  <c r="T30" i="1"/>
  <c r="U30" i="1"/>
  <c r="S31" i="1"/>
  <c r="T31" i="1"/>
  <c r="U31" i="1"/>
  <c r="S32" i="1"/>
  <c r="T32" i="1"/>
  <c r="U32" i="1"/>
  <c r="S33" i="1"/>
  <c r="T33" i="1"/>
  <c r="U33" i="1"/>
  <c r="S34" i="1"/>
  <c r="T34" i="1"/>
  <c r="U34" i="1"/>
  <c r="S35" i="1"/>
  <c r="T35" i="1"/>
  <c r="U35" i="1"/>
  <c r="S36" i="1"/>
  <c r="T36" i="1"/>
  <c r="U36" i="1"/>
  <c r="S37" i="1"/>
  <c r="T37" i="1"/>
  <c r="U37" i="1"/>
  <c r="S38" i="1"/>
  <c r="T38" i="1"/>
  <c r="U38" i="1"/>
  <c r="S39" i="1"/>
  <c r="T39" i="1"/>
  <c r="U39" i="1"/>
  <c r="S40" i="1"/>
  <c r="T40" i="1"/>
  <c r="U40" i="1"/>
  <c r="S41" i="1"/>
  <c r="T41" i="1"/>
  <c r="U41" i="1"/>
  <c r="S42" i="1"/>
  <c r="T42" i="1"/>
  <c r="U42" i="1"/>
  <c r="S43" i="1"/>
  <c r="T43" i="1"/>
  <c r="U43" i="1"/>
  <c r="S44" i="1"/>
  <c r="T44" i="1"/>
  <c r="U44" i="1"/>
  <c r="S45" i="1"/>
  <c r="T45" i="1"/>
  <c r="U45" i="1"/>
  <c r="S46" i="1"/>
  <c r="T46" i="1"/>
  <c r="U46" i="1"/>
  <c r="S47" i="1"/>
  <c r="T47" i="1"/>
  <c r="U47" i="1"/>
  <c r="S48" i="1"/>
  <c r="T48" i="1"/>
  <c r="U48" i="1"/>
  <c r="S49" i="1"/>
  <c r="T49" i="1"/>
  <c r="U49" i="1"/>
  <c r="S50" i="1"/>
  <c r="T50" i="1"/>
  <c r="U50" i="1"/>
  <c r="S51" i="1"/>
  <c r="T51" i="1"/>
  <c r="U51" i="1"/>
  <c r="S52" i="1"/>
  <c r="T52" i="1"/>
  <c r="U52" i="1"/>
  <c r="S53" i="1"/>
  <c r="T53" i="1"/>
  <c r="U53" i="1"/>
  <c r="S54" i="1"/>
  <c r="T54" i="1"/>
  <c r="U54" i="1"/>
  <c r="S55" i="1"/>
  <c r="T55" i="1"/>
  <c r="U55" i="1"/>
  <c r="S56" i="1"/>
  <c r="T56" i="1"/>
  <c r="U56" i="1"/>
  <c r="S57" i="1"/>
  <c r="T57" i="1"/>
  <c r="U57" i="1"/>
  <c r="S58" i="1"/>
  <c r="T58" i="1"/>
  <c r="U58" i="1"/>
  <c r="S59" i="1"/>
  <c r="T59" i="1"/>
  <c r="U59" i="1"/>
  <c r="S60" i="1"/>
  <c r="T60" i="1"/>
  <c r="U60" i="1"/>
  <c r="S61" i="1"/>
  <c r="T61" i="1"/>
  <c r="U61" i="1"/>
  <c r="S62" i="1"/>
  <c r="T62" i="1"/>
  <c r="U62" i="1"/>
  <c r="S63" i="1"/>
  <c r="T63" i="1"/>
  <c r="U63" i="1"/>
  <c r="S64" i="1"/>
  <c r="T64" i="1"/>
  <c r="U64" i="1"/>
  <c r="S65" i="1"/>
  <c r="T65" i="1"/>
  <c r="U65" i="1"/>
  <c r="S66" i="1"/>
  <c r="T66" i="1"/>
  <c r="U66" i="1"/>
  <c r="S67" i="1"/>
  <c r="T67" i="1"/>
  <c r="U67" i="1"/>
  <c r="S68" i="1"/>
  <c r="T68" i="1"/>
  <c r="U68" i="1"/>
  <c r="S71" i="1"/>
  <c r="T71" i="1"/>
  <c r="U71" i="1"/>
  <c r="S72" i="1"/>
  <c r="T72" i="1"/>
  <c r="U72" i="1"/>
  <c r="S73" i="1"/>
  <c r="T73" i="1"/>
  <c r="U73" i="1"/>
  <c r="S74" i="1"/>
  <c r="T74" i="1"/>
  <c r="U74" i="1"/>
  <c r="S75" i="1"/>
  <c r="T75" i="1"/>
  <c r="U75" i="1"/>
  <c r="S76" i="1"/>
  <c r="T76" i="1"/>
  <c r="U76" i="1"/>
  <c r="S77" i="1"/>
  <c r="T77" i="1"/>
  <c r="U77" i="1"/>
  <c r="S78" i="1"/>
  <c r="T78" i="1"/>
  <c r="U78" i="1"/>
  <c r="S79" i="1"/>
  <c r="T79" i="1"/>
  <c r="U79" i="1"/>
  <c r="S80" i="1"/>
  <c r="T80" i="1"/>
  <c r="U80" i="1"/>
  <c r="S81" i="1"/>
  <c r="T81" i="1"/>
  <c r="U81" i="1"/>
  <c r="S82" i="1"/>
  <c r="T82" i="1"/>
  <c r="U82" i="1"/>
  <c r="S83" i="1"/>
  <c r="T83" i="1"/>
  <c r="U83" i="1"/>
  <c r="S84" i="1"/>
  <c r="T84" i="1"/>
  <c r="U84" i="1"/>
  <c r="S85" i="1"/>
  <c r="T85" i="1"/>
  <c r="U85" i="1"/>
  <c r="S86" i="1"/>
  <c r="T86" i="1"/>
  <c r="U86" i="1"/>
  <c r="S87" i="1"/>
  <c r="T87" i="1"/>
  <c r="U87" i="1"/>
  <c r="S88" i="1"/>
  <c r="T88" i="1"/>
  <c r="U88" i="1"/>
  <c r="S89" i="1"/>
  <c r="T89" i="1"/>
  <c r="U89" i="1"/>
  <c r="S90" i="1"/>
  <c r="T90" i="1"/>
  <c r="U90" i="1"/>
  <c r="S91" i="1"/>
  <c r="T91" i="1"/>
  <c r="U91" i="1"/>
  <c r="S92" i="1"/>
  <c r="T92" i="1"/>
  <c r="U92" i="1"/>
  <c r="S93" i="1"/>
  <c r="T93" i="1"/>
  <c r="U93" i="1"/>
  <c r="S94" i="1"/>
  <c r="T94" i="1"/>
  <c r="U94" i="1"/>
  <c r="S95" i="1"/>
  <c r="T95" i="1"/>
  <c r="U95" i="1"/>
  <c r="S96" i="1"/>
  <c r="T96" i="1"/>
  <c r="U96" i="1"/>
  <c r="S97" i="1"/>
  <c r="T97" i="1"/>
  <c r="U97" i="1"/>
  <c r="S98" i="1"/>
  <c r="T98" i="1"/>
  <c r="U98" i="1"/>
  <c r="S99" i="1"/>
  <c r="T99" i="1"/>
  <c r="U99" i="1"/>
  <c r="S100" i="1"/>
  <c r="T100" i="1"/>
  <c r="U100" i="1"/>
  <c r="S101" i="1"/>
  <c r="T101" i="1"/>
  <c r="U101" i="1"/>
  <c r="S102" i="1"/>
  <c r="T102" i="1"/>
  <c r="U102" i="1"/>
  <c r="S103" i="1"/>
  <c r="T103" i="1"/>
  <c r="U103" i="1"/>
  <c r="S104" i="1"/>
  <c r="T104" i="1"/>
  <c r="U104" i="1"/>
  <c r="S105" i="1"/>
  <c r="T105" i="1"/>
  <c r="U105" i="1"/>
  <c r="S106" i="1"/>
  <c r="T106" i="1"/>
  <c r="U106" i="1"/>
  <c r="S107" i="1"/>
  <c r="T107" i="1"/>
  <c r="U107" i="1"/>
  <c r="S108" i="1"/>
  <c r="T108" i="1"/>
  <c r="U108" i="1"/>
  <c r="S109" i="1"/>
  <c r="T109" i="1"/>
  <c r="U109" i="1"/>
  <c r="S110" i="1"/>
  <c r="T110" i="1"/>
  <c r="U110" i="1"/>
  <c r="S112" i="1"/>
  <c r="T112" i="1"/>
  <c r="U112" i="1"/>
  <c r="S113" i="1"/>
  <c r="T113" i="1"/>
  <c r="U113" i="1"/>
  <c r="S114" i="1"/>
  <c r="T114" i="1"/>
  <c r="U114" i="1"/>
  <c r="S115" i="1"/>
  <c r="T115" i="1"/>
  <c r="U115" i="1"/>
  <c r="S116" i="1"/>
  <c r="T116" i="1"/>
  <c r="U116" i="1"/>
  <c r="S117" i="1"/>
  <c r="T117" i="1"/>
  <c r="U117" i="1"/>
  <c r="S118" i="1"/>
  <c r="T118" i="1"/>
  <c r="U118" i="1"/>
  <c r="S119" i="1"/>
  <c r="T119" i="1"/>
  <c r="U119" i="1"/>
  <c r="S120" i="1"/>
  <c r="T120" i="1"/>
  <c r="U120" i="1"/>
  <c r="S123" i="1"/>
  <c r="T123" i="1"/>
  <c r="U123" i="1"/>
  <c r="S124" i="1"/>
  <c r="T124" i="1"/>
  <c r="U124" i="1"/>
  <c r="S125" i="1"/>
  <c r="T125" i="1"/>
  <c r="U125" i="1"/>
  <c r="S127" i="1"/>
  <c r="T127" i="1"/>
  <c r="U127" i="1"/>
  <c r="S128" i="1"/>
  <c r="T128" i="1"/>
  <c r="U128" i="1"/>
  <c r="S129" i="1"/>
  <c r="T129" i="1"/>
  <c r="U129" i="1"/>
  <c r="S130" i="1"/>
  <c r="T130" i="1"/>
  <c r="U130" i="1"/>
  <c r="S135" i="1"/>
  <c r="T135" i="1"/>
  <c r="U135" i="1"/>
  <c r="S137" i="1"/>
  <c r="T137" i="1"/>
  <c r="U137" i="1"/>
  <c r="S138" i="1"/>
  <c r="T138" i="1"/>
  <c r="U138" i="1"/>
  <c r="S139" i="1"/>
  <c r="T139" i="1"/>
  <c r="U139" i="1"/>
  <c r="S141" i="1"/>
  <c r="T141" i="1"/>
  <c r="U141" i="1"/>
  <c r="S142" i="1"/>
  <c r="T142" i="1"/>
  <c r="U142" i="1"/>
  <c r="S143" i="1"/>
  <c r="T143" i="1"/>
  <c r="U143" i="1"/>
  <c r="S144" i="1"/>
  <c r="T144" i="1"/>
  <c r="U144" i="1"/>
  <c r="S145" i="1"/>
  <c r="T145" i="1"/>
  <c r="U145" i="1"/>
  <c r="S146" i="1"/>
  <c r="T146" i="1"/>
  <c r="U146" i="1"/>
  <c r="S147" i="1"/>
  <c r="T147" i="1"/>
  <c r="U147" i="1"/>
  <c r="S148" i="1"/>
  <c r="T148" i="1"/>
  <c r="U148" i="1"/>
  <c r="S149" i="1"/>
  <c r="T149" i="1"/>
  <c r="U149" i="1"/>
  <c r="S150" i="1"/>
  <c r="T150" i="1"/>
  <c r="U150" i="1"/>
  <c r="S151" i="1"/>
  <c r="T151" i="1"/>
  <c r="U151" i="1"/>
  <c r="S152" i="1"/>
  <c r="T152" i="1"/>
  <c r="U152" i="1"/>
  <c r="S154" i="1"/>
  <c r="T154" i="1"/>
  <c r="U154" i="1"/>
  <c r="S155" i="1"/>
  <c r="T155" i="1"/>
  <c r="U155" i="1"/>
  <c r="S157" i="1"/>
  <c r="T157" i="1"/>
  <c r="U157" i="1"/>
  <c r="S158" i="1"/>
  <c r="T158" i="1"/>
  <c r="U158" i="1"/>
  <c r="S160" i="1"/>
  <c r="T160" i="1"/>
  <c r="U160" i="1"/>
  <c r="S161" i="1"/>
  <c r="T161" i="1"/>
  <c r="U161" i="1"/>
  <c r="S164" i="1"/>
  <c r="T164" i="1"/>
  <c r="U164" i="1"/>
  <c r="S165" i="1"/>
  <c r="T165" i="1"/>
  <c r="U165" i="1"/>
  <c r="S166" i="1"/>
  <c r="T166" i="1"/>
  <c r="U166" i="1"/>
  <c r="S169" i="1"/>
  <c r="T169" i="1"/>
  <c r="U169" i="1"/>
  <c r="S171" i="1"/>
  <c r="T171" i="1"/>
  <c r="U171" i="1"/>
  <c r="S172" i="1"/>
  <c r="T172" i="1"/>
  <c r="U172" i="1"/>
  <c r="S175" i="1"/>
  <c r="T175" i="1"/>
  <c r="U175" i="1"/>
  <c r="S176" i="1"/>
  <c r="T176" i="1"/>
  <c r="U176" i="1"/>
  <c r="S178" i="1"/>
  <c r="T178" i="1"/>
  <c r="U178" i="1"/>
  <c r="S179" i="1"/>
  <c r="T179" i="1"/>
  <c r="U179" i="1"/>
  <c r="S181" i="1"/>
  <c r="T181" i="1"/>
  <c r="U181" i="1"/>
  <c r="S184" i="1"/>
  <c r="T184" i="1"/>
  <c r="U184" i="1"/>
  <c r="S185" i="1"/>
  <c r="T185" i="1"/>
  <c r="U185" i="1"/>
  <c r="S186" i="1"/>
  <c r="T186" i="1"/>
  <c r="U186" i="1"/>
  <c r="S187" i="1"/>
  <c r="T187" i="1"/>
  <c r="U187" i="1"/>
  <c r="S188" i="1"/>
  <c r="T188" i="1"/>
  <c r="U188" i="1"/>
  <c r="S189" i="1"/>
  <c r="T189" i="1"/>
  <c r="U189" i="1"/>
  <c r="S190" i="1"/>
  <c r="T190" i="1"/>
  <c r="U190" i="1"/>
  <c r="S193" i="1"/>
  <c r="T193" i="1"/>
  <c r="U193" i="1"/>
  <c r="S194" i="1"/>
  <c r="T194" i="1"/>
  <c r="U194" i="1"/>
  <c r="S196" i="1"/>
  <c r="T196" i="1"/>
  <c r="U196" i="1"/>
  <c r="S197" i="1"/>
  <c r="T197" i="1"/>
  <c r="U197" i="1"/>
  <c r="S198" i="1"/>
  <c r="T198" i="1"/>
  <c r="U198" i="1"/>
  <c r="S200" i="1"/>
  <c r="T200" i="1"/>
  <c r="U200" i="1"/>
  <c r="S201" i="1"/>
  <c r="T201" i="1"/>
  <c r="U201" i="1"/>
  <c r="S204" i="1"/>
  <c r="T204" i="1"/>
  <c r="U204" i="1"/>
  <c r="S205" i="1"/>
  <c r="T205" i="1"/>
  <c r="U205" i="1"/>
  <c r="S206" i="1"/>
  <c r="T206" i="1"/>
  <c r="U206" i="1"/>
  <c r="S207" i="1"/>
  <c r="T207" i="1"/>
  <c r="U207" i="1"/>
  <c r="S209" i="1"/>
  <c r="T209" i="1"/>
  <c r="U209" i="1"/>
  <c r="S210" i="1"/>
  <c r="T210" i="1"/>
  <c r="U210" i="1"/>
  <c r="S212" i="1"/>
  <c r="T212" i="1"/>
  <c r="U212" i="1"/>
  <c r="S213" i="1"/>
  <c r="T213" i="1"/>
  <c r="U213" i="1"/>
  <c r="S214" i="1"/>
  <c r="T214" i="1"/>
  <c r="U214" i="1"/>
  <c r="S216" i="1"/>
  <c r="T216" i="1"/>
  <c r="U216" i="1"/>
  <c r="S219" i="1"/>
  <c r="T219" i="1"/>
  <c r="U219" i="1"/>
  <c r="S220" i="1"/>
  <c r="T220" i="1"/>
  <c r="U220" i="1"/>
  <c r="S221" i="1"/>
  <c r="T221" i="1"/>
  <c r="U221" i="1"/>
  <c r="S223" i="1"/>
  <c r="T223" i="1"/>
  <c r="U223" i="1"/>
  <c r="S226" i="1"/>
  <c r="T226" i="1"/>
  <c r="U226" i="1"/>
  <c r="S228" i="1"/>
  <c r="T228" i="1"/>
  <c r="U228" i="1"/>
  <c r="S231" i="1"/>
  <c r="T231" i="1"/>
  <c r="U231" i="1"/>
  <c r="S232" i="1"/>
  <c r="T232" i="1"/>
  <c r="U232" i="1"/>
  <c r="S233" i="1"/>
  <c r="T233" i="1"/>
  <c r="U233" i="1"/>
  <c r="S234" i="1"/>
  <c r="T234" i="1"/>
  <c r="U234" i="1"/>
  <c r="S236" i="1"/>
  <c r="T236" i="1"/>
  <c r="U236" i="1"/>
  <c r="S237" i="1"/>
  <c r="T237" i="1"/>
  <c r="U237" i="1"/>
  <c r="S238" i="1"/>
  <c r="T238" i="1"/>
  <c r="U238" i="1"/>
  <c r="S242" i="1"/>
  <c r="T242" i="1"/>
  <c r="U242" i="1"/>
  <c r="S244" i="1"/>
  <c r="T244" i="1"/>
  <c r="U244" i="1"/>
  <c r="S245" i="1"/>
  <c r="T245" i="1"/>
  <c r="U245" i="1"/>
  <c r="S246" i="1"/>
  <c r="T246" i="1"/>
  <c r="U246" i="1"/>
  <c r="S247" i="1"/>
  <c r="T247" i="1"/>
  <c r="U247" i="1"/>
  <c r="S248" i="1"/>
  <c r="T248" i="1"/>
  <c r="U248" i="1"/>
  <c r="S250" i="1"/>
  <c r="T250" i="1"/>
  <c r="U250" i="1"/>
  <c r="S251" i="1"/>
  <c r="T251" i="1"/>
  <c r="U251" i="1"/>
  <c r="S257" i="1"/>
  <c r="T257" i="1"/>
  <c r="U257" i="1"/>
  <c r="S258" i="1"/>
  <c r="T258" i="1"/>
  <c r="U258" i="1"/>
  <c r="S259" i="1"/>
  <c r="T259" i="1"/>
  <c r="U259" i="1"/>
  <c r="S260" i="1"/>
  <c r="T260" i="1"/>
  <c r="U260" i="1"/>
  <c r="S267" i="1"/>
  <c r="T267" i="1"/>
  <c r="U267" i="1"/>
  <c r="S274" i="1"/>
  <c r="T274" i="1"/>
  <c r="U274" i="1"/>
  <c r="S279" i="1"/>
  <c r="T279" i="1"/>
  <c r="U279" i="1"/>
  <c r="S280" i="1"/>
  <c r="T280" i="1"/>
  <c r="U280" i="1"/>
  <c r="S281" i="1"/>
  <c r="T281" i="1"/>
  <c r="U281" i="1"/>
  <c r="S282" i="1"/>
  <c r="T282" i="1"/>
  <c r="U282" i="1"/>
  <c r="S285" i="1"/>
  <c r="T285" i="1"/>
  <c r="U285" i="1"/>
  <c r="S286" i="1"/>
  <c r="T286" i="1"/>
  <c r="U286" i="1"/>
  <c r="S289" i="1"/>
  <c r="T289" i="1"/>
  <c r="U289" i="1"/>
  <c r="S290" i="1"/>
  <c r="T290" i="1"/>
  <c r="U290" i="1"/>
  <c r="S291" i="1"/>
  <c r="T291" i="1"/>
  <c r="U291" i="1"/>
  <c r="S292" i="1"/>
  <c r="T292" i="1"/>
  <c r="U292" i="1"/>
  <c r="S293" i="1"/>
  <c r="T293" i="1"/>
  <c r="U293" i="1"/>
  <c r="S294" i="1"/>
  <c r="T294" i="1"/>
  <c r="U294" i="1"/>
  <c r="S296" i="1"/>
  <c r="T296" i="1"/>
  <c r="U296" i="1"/>
  <c r="S298" i="1"/>
  <c r="T298" i="1"/>
  <c r="U298" i="1"/>
  <c r="S300" i="1"/>
  <c r="T300" i="1"/>
  <c r="U300" i="1"/>
  <c r="S301" i="1"/>
  <c r="T301" i="1"/>
  <c r="U301" i="1"/>
  <c r="S302" i="1"/>
  <c r="T302" i="1"/>
  <c r="U302" i="1"/>
  <c r="S305" i="1"/>
  <c r="T305" i="1"/>
  <c r="U305" i="1"/>
  <c r="S307" i="1"/>
  <c r="T307" i="1"/>
  <c r="U307" i="1"/>
  <c r="S308" i="1"/>
  <c r="T308" i="1"/>
  <c r="U308" i="1"/>
  <c r="S309" i="1"/>
  <c r="T309" i="1"/>
  <c r="U309" i="1"/>
  <c r="S312" i="1"/>
  <c r="T312" i="1"/>
  <c r="U312" i="1"/>
  <c r="S314" i="1"/>
  <c r="T314" i="1"/>
  <c r="U314" i="1"/>
  <c r="S316" i="1"/>
  <c r="T316" i="1"/>
  <c r="U316" i="1"/>
  <c r="S317" i="1"/>
  <c r="T317" i="1"/>
  <c r="U317" i="1"/>
  <c r="S318" i="1"/>
  <c r="T318" i="1"/>
  <c r="U318" i="1"/>
  <c r="S319" i="1"/>
  <c r="T319" i="1"/>
  <c r="U319" i="1"/>
  <c r="S321" i="1"/>
  <c r="T321" i="1"/>
  <c r="U321" i="1"/>
  <c r="S324" i="1"/>
  <c r="T324" i="1"/>
  <c r="U324" i="1"/>
  <c r="S325" i="1"/>
  <c r="T325" i="1"/>
  <c r="U325" i="1"/>
  <c r="S330" i="1"/>
  <c r="T330" i="1"/>
  <c r="U330" i="1"/>
  <c r="S331" i="1"/>
  <c r="T331" i="1"/>
  <c r="U331" i="1"/>
  <c r="S332" i="1"/>
  <c r="T332" i="1"/>
  <c r="U332" i="1"/>
  <c r="S333" i="1"/>
  <c r="T333" i="1"/>
  <c r="U333" i="1"/>
  <c r="S335" i="1"/>
  <c r="T335" i="1"/>
  <c r="U335" i="1"/>
  <c r="S336" i="1"/>
  <c r="T336" i="1"/>
  <c r="U336" i="1"/>
  <c r="S337" i="1"/>
  <c r="T337" i="1"/>
  <c r="U337" i="1"/>
  <c r="S338" i="1"/>
  <c r="T338" i="1"/>
  <c r="U338" i="1"/>
  <c r="S339" i="1"/>
  <c r="T339" i="1"/>
  <c r="U339" i="1"/>
  <c r="S340" i="1"/>
  <c r="T340" i="1"/>
  <c r="U340" i="1"/>
  <c r="S341" i="1"/>
  <c r="T341" i="1"/>
  <c r="U341" i="1"/>
  <c r="S342" i="1"/>
  <c r="T342" i="1"/>
  <c r="U342" i="1"/>
  <c r="S345" i="1"/>
  <c r="T345" i="1"/>
  <c r="U345" i="1"/>
  <c r="S346" i="1"/>
  <c r="T346" i="1"/>
  <c r="U346" i="1"/>
  <c r="S347" i="1"/>
  <c r="T347" i="1"/>
  <c r="U347" i="1"/>
  <c r="S353" i="1"/>
  <c r="T353" i="1"/>
  <c r="U353" i="1"/>
  <c r="S354" i="1"/>
  <c r="T354" i="1"/>
  <c r="U354" i="1"/>
  <c r="S355" i="1"/>
  <c r="T355" i="1"/>
  <c r="U355" i="1"/>
  <c r="S356" i="1"/>
  <c r="T356" i="1"/>
  <c r="U356" i="1"/>
  <c r="S360" i="1"/>
  <c r="T360" i="1"/>
  <c r="U360" i="1"/>
  <c r="S361" i="1"/>
  <c r="T361" i="1"/>
  <c r="U361" i="1"/>
  <c r="S362" i="1"/>
  <c r="T362" i="1"/>
  <c r="U362" i="1"/>
  <c r="S363" i="1"/>
  <c r="T363" i="1"/>
  <c r="U363" i="1"/>
  <c r="S364" i="1"/>
  <c r="T364" i="1"/>
  <c r="U364" i="1"/>
  <c r="S366" i="1"/>
  <c r="T366" i="1"/>
  <c r="U366" i="1"/>
  <c r="S367" i="1"/>
  <c r="T367" i="1"/>
  <c r="U367" i="1"/>
  <c r="S368" i="1"/>
  <c r="T368" i="1"/>
  <c r="U368" i="1"/>
  <c r="S369" i="1"/>
  <c r="T369" i="1"/>
  <c r="U369" i="1"/>
  <c r="S371" i="1"/>
  <c r="T371" i="1"/>
  <c r="U371" i="1"/>
  <c r="S374" i="1"/>
  <c r="T374" i="1"/>
  <c r="U374" i="1"/>
  <c r="S376" i="1"/>
  <c r="T376" i="1"/>
  <c r="U376" i="1"/>
  <c r="S379" i="1"/>
  <c r="T379" i="1"/>
  <c r="U379" i="1"/>
  <c r="S380" i="1"/>
  <c r="T380" i="1"/>
  <c r="U380" i="1"/>
  <c r="S381" i="1"/>
  <c r="T381" i="1"/>
  <c r="U381" i="1"/>
  <c r="S382" i="1"/>
  <c r="T382" i="1"/>
  <c r="U382" i="1"/>
  <c r="S383" i="1"/>
  <c r="T383" i="1"/>
  <c r="U383" i="1"/>
  <c r="S384" i="1"/>
  <c r="T384" i="1"/>
  <c r="U384" i="1"/>
  <c r="S386" i="1"/>
  <c r="T386" i="1"/>
  <c r="U386" i="1"/>
  <c r="S389" i="1"/>
  <c r="T389" i="1"/>
  <c r="U389" i="1"/>
  <c r="S390" i="1"/>
  <c r="T390" i="1"/>
  <c r="U390" i="1"/>
  <c r="S392" i="1"/>
  <c r="T392" i="1"/>
  <c r="U392" i="1"/>
  <c r="S395" i="1"/>
  <c r="T395" i="1"/>
  <c r="U395" i="1"/>
  <c r="S365" i="1"/>
  <c r="T365" i="1"/>
  <c r="U365" i="1"/>
  <c r="S397" i="1"/>
  <c r="T397" i="1"/>
  <c r="U397" i="1"/>
  <c r="S398" i="1"/>
  <c r="T398" i="1"/>
  <c r="U398" i="1"/>
  <c r="S399" i="1"/>
  <c r="T399" i="1"/>
  <c r="U399" i="1"/>
  <c r="S396" i="1"/>
  <c r="T396" i="1"/>
  <c r="U396" i="1"/>
  <c r="S402" i="1"/>
  <c r="T402" i="1"/>
  <c r="U402" i="1"/>
  <c r="S404" i="1"/>
  <c r="T404" i="1"/>
  <c r="U404" i="1"/>
  <c r="S408" i="1"/>
  <c r="T408" i="1"/>
  <c r="U408" i="1"/>
  <c r="S411" i="1"/>
  <c r="T411" i="1"/>
  <c r="U411" i="1"/>
  <c r="S413" i="1"/>
  <c r="T413" i="1"/>
  <c r="U413" i="1"/>
  <c r="S403" i="1"/>
  <c r="T403" i="1"/>
  <c r="U403" i="1"/>
  <c r="S414" i="1"/>
  <c r="T414" i="1"/>
  <c r="U414" i="1"/>
  <c r="S415" i="1"/>
  <c r="T415" i="1"/>
  <c r="U415" i="1"/>
  <c r="S416" i="1"/>
  <c r="T416" i="1"/>
  <c r="U416" i="1"/>
  <c r="S417" i="1"/>
  <c r="T417" i="1"/>
  <c r="U417" i="1"/>
  <c r="S418" i="1"/>
  <c r="T418" i="1"/>
  <c r="U418" i="1"/>
  <c r="S419" i="1"/>
  <c r="T419" i="1"/>
  <c r="U419" i="1"/>
  <c r="S421" i="1"/>
  <c r="T421" i="1"/>
  <c r="U421" i="1"/>
  <c r="S422" i="1"/>
  <c r="T422" i="1"/>
  <c r="U422" i="1"/>
  <c r="S423" i="1"/>
  <c r="T423" i="1"/>
  <c r="U423" i="1"/>
  <c r="S426" i="1"/>
  <c r="T426" i="1"/>
  <c r="U426" i="1"/>
  <c r="S427" i="1"/>
  <c r="T427" i="1"/>
  <c r="U427" i="1"/>
  <c r="S428" i="1"/>
  <c r="T428" i="1"/>
  <c r="U428" i="1"/>
  <c r="S431" i="1"/>
  <c r="T431" i="1"/>
  <c r="U431" i="1"/>
  <c r="S432" i="1"/>
  <c r="T432" i="1"/>
  <c r="U432" i="1"/>
  <c r="S433" i="1"/>
  <c r="T433" i="1"/>
  <c r="U433" i="1"/>
  <c r="S437" i="1"/>
  <c r="T437" i="1"/>
  <c r="U437" i="1"/>
  <c r="S438" i="1"/>
  <c r="T438" i="1"/>
  <c r="U438" i="1"/>
  <c r="S439" i="1"/>
  <c r="T439" i="1"/>
  <c r="U439" i="1"/>
  <c r="S440" i="1"/>
  <c r="T440" i="1"/>
  <c r="U440" i="1"/>
  <c r="S442" i="1"/>
  <c r="T442" i="1"/>
  <c r="U442" i="1"/>
  <c r="S443" i="1"/>
  <c r="T443" i="1"/>
  <c r="U443" i="1"/>
  <c r="S444" i="1"/>
  <c r="T444" i="1"/>
  <c r="U444" i="1"/>
  <c r="S445" i="1"/>
  <c r="T445" i="1"/>
  <c r="U445" i="1"/>
  <c r="S446" i="1"/>
  <c r="T446" i="1"/>
  <c r="U446" i="1"/>
  <c r="S447" i="1"/>
  <c r="T447" i="1"/>
  <c r="U447" i="1"/>
  <c r="S448" i="1"/>
  <c r="T448" i="1"/>
  <c r="U448" i="1"/>
  <c r="S449" i="1"/>
  <c r="T449" i="1"/>
  <c r="U449" i="1"/>
  <c r="S450" i="1"/>
  <c r="T450" i="1"/>
  <c r="U450" i="1"/>
  <c r="S451" i="1"/>
  <c r="T451" i="1"/>
  <c r="U451" i="1"/>
  <c r="S452" i="1"/>
  <c r="T452" i="1"/>
  <c r="U452" i="1"/>
  <c r="S453" i="1"/>
  <c r="T453" i="1"/>
  <c r="U453" i="1"/>
  <c r="S455" i="1"/>
  <c r="T455" i="1"/>
  <c r="U455" i="1"/>
  <c r="S456" i="1"/>
  <c r="T456" i="1"/>
  <c r="U456" i="1"/>
  <c r="S457" i="1"/>
  <c r="T457" i="1"/>
  <c r="U457" i="1"/>
  <c r="S459" i="1"/>
  <c r="T459" i="1"/>
  <c r="U459" i="1"/>
  <c r="S461" i="1"/>
  <c r="T461" i="1"/>
  <c r="U461" i="1"/>
  <c r="S462" i="1"/>
  <c r="T462" i="1"/>
  <c r="U462" i="1"/>
  <c r="S463" i="1"/>
  <c r="T463" i="1"/>
  <c r="U463" i="1"/>
  <c r="S464" i="1"/>
  <c r="T464" i="1"/>
  <c r="U464" i="1"/>
  <c r="S465" i="1"/>
  <c r="T465" i="1"/>
  <c r="U465" i="1"/>
  <c r="S466" i="1"/>
  <c r="T466" i="1"/>
  <c r="U466" i="1"/>
  <c r="S467" i="1"/>
  <c r="T467" i="1"/>
  <c r="U467" i="1"/>
  <c r="S472" i="1"/>
  <c r="T472" i="1"/>
  <c r="U472" i="1"/>
  <c r="S473" i="1"/>
  <c r="T473" i="1"/>
  <c r="U473" i="1"/>
  <c r="S475" i="1"/>
  <c r="T475" i="1"/>
  <c r="U475" i="1"/>
  <c r="S476" i="1"/>
  <c r="T476" i="1"/>
  <c r="U476" i="1"/>
  <c r="S477" i="1"/>
  <c r="T477" i="1"/>
  <c r="U477" i="1"/>
  <c r="S478" i="1"/>
  <c r="T478" i="1"/>
  <c r="U478" i="1"/>
  <c r="S481" i="1"/>
  <c r="T481" i="1"/>
  <c r="U481" i="1"/>
  <c r="S482" i="1"/>
  <c r="T482" i="1"/>
  <c r="U482" i="1"/>
  <c r="S483" i="1"/>
  <c r="T483" i="1"/>
  <c r="U483" i="1"/>
  <c r="S484" i="1"/>
  <c r="T484" i="1"/>
  <c r="U484" i="1"/>
  <c r="S485" i="1"/>
  <c r="T485" i="1"/>
  <c r="U485" i="1"/>
  <c r="S488" i="1"/>
  <c r="T488" i="1"/>
  <c r="U488" i="1"/>
  <c r="S490" i="1"/>
  <c r="T490" i="1"/>
  <c r="U490" i="1"/>
  <c r="S491" i="1"/>
  <c r="T491" i="1"/>
  <c r="U491" i="1"/>
  <c r="S492" i="1"/>
  <c r="T492" i="1"/>
  <c r="U492" i="1"/>
  <c r="S493" i="1"/>
  <c r="T493" i="1"/>
  <c r="U493" i="1"/>
  <c r="S494" i="1"/>
  <c r="T494" i="1"/>
  <c r="U494" i="1"/>
  <c r="S495" i="1"/>
  <c r="T495" i="1"/>
  <c r="U495" i="1"/>
  <c r="S496" i="1"/>
  <c r="T496" i="1"/>
  <c r="U496" i="1"/>
  <c r="S497" i="1"/>
  <c r="T497" i="1"/>
  <c r="U497" i="1"/>
  <c r="S498" i="1"/>
  <c r="T498" i="1"/>
  <c r="U498" i="1"/>
  <c r="S499" i="1"/>
  <c r="T499" i="1"/>
  <c r="U499" i="1"/>
  <c r="S500" i="1"/>
  <c r="T500" i="1"/>
  <c r="U500" i="1"/>
  <c r="S503" i="1"/>
  <c r="T503" i="1"/>
  <c r="U503" i="1"/>
  <c r="S505" i="1"/>
  <c r="T505" i="1"/>
  <c r="U505" i="1"/>
  <c r="S506" i="1"/>
  <c r="T506" i="1"/>
  <c r="U506" i="1"/>
  <c r="S507" i="1"/>
  <c r="T507" i="1"/>
  <c r="U507" i="1"/>
  <c r="S508" i="1"/>
  <c r="T508" i="1"/>
  <c r="U508" i="1"/>
  <c r="S510" i="1"/>
  <c r="T510" i="1"/>
  <c r="U510" i="1"/>
  <c r="S511" i="1"/>
  <c r="T511" i="1"/>
  <c r="U511" i="1"/>
  <c r="S7" i="1"/>
  <c r="T7" i="1"/>
  <c r="U7" i="1"/>
  <c r="S25" i="1"/>
  <c r="T25" i="1"/>
  <c r="U25" i="1"/>
  <c r="S69" i="1"/>
  <c r="T69" i="1"/>
  <c r="U69" i="1"/>
  <c r="S70" i="1"/>
  <c r="T70" i="1"/>
  <c r="U70" i="1"/>
  <c r="S111" i="1"/>
  <c r="T111" i="1"/>
  <c r="U111" i="1"/>
  <c r="S121" i="1"/>
  <c r="T121" i="1"/>
  <c r="U121" i="1"/>
  <c r="S159" i="1"/>
  <c r="T159" i="1"/>
  <c r="U159" i="1"/>
  <c r="S180" i="1"/>
  <c r="T180" i="1"/>
  <c r="U180" i="1"/>
  <c r="S202" i="1"/>
  <c r="T202" i="1"/>
  <c r="U202" i="1"/>
  <c r="S203" i="1"/>
  <c r="T203" i="1"/>
  <c r="U203" i="1"/>
  <c r="S227" i="1"/>
  <c r="T227" i="1"/>
  <c r="U227" i="1"/>
  <c r="S243" i="1"/>
  <c r="T243" i="1"/>
  <c r="U243" i="1"/>
  <c r="S249" i="1"/>
  <c r="T249" i="1"/>
  <c r="U249" i="1"/>
  <c r="S261" i="1"/>
  <c r="T261" i="1"/>
  <c r="U261" i="1"/>
  <c r="S262" i="1"/>
  <c r="T262" i="1"/>
  <c r="U262" i="1"/>
  <c r="S263" i="1"/>
  <c r="T263" i="1"/>
  <c r="U263" i="1"/>
  <c r="S272" i="1"/>
  <c r="T272" i="1"/>
  <c r="U272" i="1"/>
  <c r="S277" i="1"/>
  <c r="T277" i="1"/>
  <c r="U277" i="1"/>
  <c r="S278" i="1"/>
  <c r="T278" i="1"/>
  <c r="U278" i="1"/>
  <c r="S283" i="1"/>
  <c r="T283" i="1"/>
  <c r="U283" i="1"/>
  <c r="S287" i="1"/>
  <c r="T287" i="1"/>
  <c r="U287" i="1"/>
  <c r="S315" i="1"/>
  <c r="T315" i="1"/>
  <c r="U315" i="1"/>
  <c r="S322" i="1"/>
  <c r="T322" i="1"/>
  <c r="U322" i="1"/>
  <c r="S348" i="1"/>
  <c r="T348" i="1"/>
  <c r="U348" i="1"/>
  <c r="S349" i="1"/>
  <c r="T349" i="1"/>
  <c r="U349" i="1"/>
  <c r="S405" i="1"/>
  <c r="T405" i="1"/>
  <c r="U405" i="1"/>
  <c r="S424" i="1"/>
  <c r="T424" i="1"/>
  <c r="U424" i="1"/>
  <c r="S441" i="1"/>
  <c r="T441" i="1"/>
  <c r="U441" i="1"/>
  <c r="S486" i="1"/>
  <c r="T486" i="1"/>
  <c r="U486" i="1"/>
  <c r="S487" i="1"/>
  <c r="T487" i="1"/>
  <c r="U487" i="1"/>
  <c r="S501" i="1"/>
  <c r="T501" i="1"/>
  <c r="U501" i="1"/>
  <c r="S502" i="1"/>
  <c r="T502" i="1"/>
  <c r="U502" i="1"/>
  <c r="S136" i="1"/>
  <c r="T136" i="1"/>
  <c r="U136" i="1"/>
  <c r="S170" i="1"/>
  <c r="T170" i="1"/>
  <c r="U170" i="1"/>
  <c r="S215" i="1"/>
  <c r="T215" i="1"/>
  <c r="U215" i="1"/>
  <c r="S275" i="1"/>
  <c r="T275" i="1"/>
  <c r="U275" i="1"/>
  <c r="S288" i="1"/>
  <c r="T288" i="1"/>
  <c r="U288" i="1"/>
  <c r="S297" i="1"/>
  <c r="T297" i="1"/>
  <c r="U297" i="1"/>
  <c r="S311" i="1"/>
  <c r="T311" i="1"/>
  <c r="U311" i="1"/>
  <c r="S323" i="1"/>
  <c r="T323" i="1"/>
  <c r="U323" i="1"/>
  <c r="S350" i="1"/>
  <c r="T350" i="1"/>
  <c r="U350" i="1"/>
  <c r="S373" i="1"/>
  <c r="T373" i="1"/>
  <c r="U373" i="1"/>
  <c r="S378" i="1"/>
  <c r="T378" i="1"/>
  <c r="U378" i="1"/>
  <c r="S387" i="1"/>
  <c r="T387" i="1"/>
  <c r="U387" i="1"/>
  <c r="S406" i="1"/>
  <c r="T406" i="1"/>
  <c r="U406" i="1"/>
  <c r="S409" i="1"/>
  <c r="T409" i="1"/>
  <c r="U409" i="1"/>
  <c r="S429" i="1"/>
  <c r="T429" i="1"/>
  <c r="U429" i="1"/>
  <c r="S430" i="1"/>
  <c r="T430" i="1"/>
  <c r="U430" i="1"/>
  <c r="S458" i="1"/>
  <c r="T458" i="1"/>
  <c r="U458" i="1"/>
  <c r="S469" i="1"/>
  <c r="T469" i="1"/>
  <c r="U469" i="1"/>
  <c r="S471" i="1"/>
  <c r="T471" i="1"/>
  <c r="U471" i="1"/>
  <c r="S474" i="1"/>
  <c r="T474" i="1"/>
  <c r="U474" i="1"/>
  <c r="S479" i="1"/>
  <c r="T479" i="1"/>
  <c r="U479" i="1"/>
  <c r="S509" i="1"/>
  <c r="T509" i="1"/>
  <c r="U509" i="1"/>
  <c r="S122" i="1"/>
  <c r="T122" i="1"/>
  <c r="U122" i="1"/>
  <c r="S131" i="1"/>
  <c r="T131" i="1"/>
  <c r="U131" i="1"/>
  <c r="S140" i="1"/>
  <c r="T140" i="1"/>
  <c r="U140" i="1"/>
  <c r="S153" i="1"/>
  <c r="T153" i="1"/>
  <c r="U153" i="1"/>
  <c r="S162" i="1"/>
  <c r="T162" i="1"/>
  <c r="U162" i="1"/>
  <c r="S163" i="1"/>
  <c r="T163" i="1"/>
  <c r="U163" i="1"/>
  <c r="S173" i="1"/>
  <c r="T173" i="1"/>
  <c r="U173" i="1"/>
  <c r="S174" i="1"/>
  <c r="T174" i="1"/>
  <c r="U174" i="1"/>
  <c r="S182" i="1"/>
  <c r="T182" i="1"/>
  <c r="U182" i="1"/>
  <c r="S183" i="1"/>
  <c r="T183" i="1"/>
  <c r="U183" i="1"/>
  <c r="S195" i="1"/>
  <c r="T195" i="1"/>
  <c r="U195" i="1"/>
  <c r="S208" i="1"/>
  <c r="T208" i="1"/>
  <c r="U208" i="1"/>
  <c r="S217" i="1"/>
  <c r="T217" i="1"/>
  <c r="U217" i="1"/>
  <c r="S222" i="1"/>
  <c r="T222" i="1"/>
  <c r="U222" i="1"/>
  <c r="S229" i="1"/>
  <c r="T229" i="1"/>
  <c r="U229" i="1"/>
  <c r="S230" i="1"/>
  <c r="T230" i="1"/>
  <c r="U230" i="1"/>
  <c r="S253" i="1"/>
  <c r="T253" i="1"/>
  <c r="U253" i="1"/>
  <c r="S254" i="1"/>
  <c r="T254" i="1"/>
  <c r="U254" i="1"/>
  <c r="S264" i="1"/>
  <c r="T264" i="1"/>
  <c r="U264" i="1"/>
  <c r="S265" i="1"/>
  <c r="T265" i="1"/>
  <c r="U265" i="1"/>
  <c r="S266" i="1"/>
  <c r="T266" i="1"/>
  <c r="U266" i="1"/>
  <c r="S303" i="1"/>
  <c r="T303" i="1"/>
  <c r="U303" i="1"/>
  <c r="S304" i="1"/>
  <c r="T304" i="1"/>
  <c r="U304" i="1"/>
  <c r="S334" i="1"/>
  <c r="T334" i="1"/>
  <c r="U334" i="1"/>
  <c r="S344" i="1"/>
  <c r="T344" i="1"/>
  <c r="U344" i="1"/>
  <c r="S351" i="1"/>
  <c r="T351" i="1"/>
  <c r="U351" i="1"/>
  <c r="S388" i="1"/>
  <c r="T388" i="1"/>
  <c r="U388" i="1"/>
  <c r="S401" i="1"/>
  <c r="T401" i="1"/>
  <c r="U401" i="1"/>
  <c r="S420" i="1"/>
  <c r="T420" i="1"/>
  <c r="U420" i="1"/>
  <c r="S425" i="1"/>
  <c r="T425" i="1"/>
  <c r="U425" i="1"/>
  <c r="S454" i="1"/>
  <c r="T454" i="1"/>
  <c r="U454" i="1"/>
  <c r="S468" i="1"/>
  <c r="T468" i="1"/>
  <c r="U468" i="1"/>
  <c r="S480" i="1"/>
  <c r="T480" i="1"/>
  <c r="U480" i="1"/>
  <c r="S489" i="1"/>
  <c r="T489" i="1"/>
  <c r="U489" i="1"/>
  <c r="S504" i="1"/>
  <c r="T504" i="1"/>
  <c r="U504" i="1"/>
  <c r="S134" i="1"/>
  <c r="T134" i="1"/>
  <c r="U134" i="1"/>
  <c r="S156" i="1"/>
  <c r="T156" i="1"/>
  <c r="U156" i="1"/>
  <c r="S167" i="1"/>
  <c r="T167" i="1"/>
  <c r="U167" i="1"/>
  <c r="S177" i="1"/>
  <c r="T177" i="1"/>
  <c r="U177" i="1"/>
  <c r="S191" i="1"/>
  <c r="T191" i="1"/>
  <c r="U191" i="1"/>
  <c r="S192" i="1"/>
  <c r="T192" i="1"/>
  <c r="U192" i="1"/>
  <c r="S199" i="1"/>
  <c r="T199" i="1"/>
  <c r="U199" i="1"/>
  <c r="S211" i="1"/>
  <c r="T211" i="1"/>
  <c r="U211" i="1"/>
  <c r="S224" i="1"/>
  <c r="T224" i="1"/>
  <c r="U224" i="1"/>
  <c r="S225" i="1"/>
  <c r="T225" i="1"/>
  <c r="U225" i="1"/>
  <c r="S240" i="1"/>
  <c r="T240" i="1"/>
  <c r="U240" i="1"/>
  <c r="S255" i="1"/>
  <c r="T255" i="1"/>
  <c r="U255" i="1"/>
  <c r="S256" i="1"/>
  <c r="T256" i="1"/>
  <c r="U256" i="1"/>
  <c r="S269" i="1"/>
  <c r="T269" i="1"/>
  <c r="U269" i="1"/>
  <c r="S270" i="1"/>
  <c r="T270" i="1"/>
  <c r="U270" i="1"/>
  <c r="S284" i="1"/>
  <c r="T284" i="1"/>
  <c r="U284" i="1"/>
  <c r="S313" i="1"/>
  <c r="T313" i="1"/>
  <c r="U313" i="1"/>
  <c r="S358" i="1"/>
  <c r="T358" i="1"/>
  <c r="U358" i="1"/>
  <c r="S393" i="1"/>
  <c r="T393" i="1"/>
  <c r="U393" i="1"/>
  <c r="S407" i="1"/>
  <c r="T407" i="1"/>
  <c r="U407" i="1"/>
  <c r="S410" i="1"/>
  <c r="T410" i="1"/>
  <c r="U410" i="1"/>
  <c r="S435" i="1"/>
  <c r="T435" i="1"/>
  <c r="U435" i="1"/>
  <c r="S470" i="1"/>
  <c r="T470" i="1"/>
  <c r="U470" i="1"/>
  <c r="S126" i="1"/>
  <c r="T126" i="1"/>
  <c r="U126" i="1"/>
  <c r="S132" i="1"/>
  <c r="T132" i="1"/>
  <c r="U132" i="1"/>
  <c r="S133" i="1"/>
  <c r="T133" i="1"/>
  <c r="U133" i="1"/>
  <c r="S168" i="1"/>
  <c r="T168" i="1"/>
  <c r="U168" i="1"/>
  <c r="S235" i="1"/>
  <c r="T235" i="1"/>
  <c r="U235" i="1"/>
  <c r="S239" i="1"/>
  <c r="T239" i="1"/>
  <c r="U239" i="1"/>
  <c r="S241" i="1"/>
  <c r="T241" i="1"/>
  <c r="U241" i="1"/>
  <c r="S268" i="1"/>
  <c r="T268" i="1"/>
  <c r="U268" i="1"/>
  <c r="S271" i="1"/>
  <c r="T271" i="1"/>
  <c r="U271" i="1"/>
  <c r="S273" i="1"/>
  <c r="T273" i="1"/>
  <c r="U273" i="1"/>
  <c r="S276" i="1"/>
  <c r="T276" i="1"/>
  <c r="U276" i="1"/>
  <c r="S306" i="1"/>
  <c r="T306" i="1"/>
  <c r="U306" i="1"/>
  <c r="S320" i="1"/>
  <c r="T320" i="1"/>
  <c r="U320" i="1"/>
  <c r="S326" i="1"/>
  <c r="T326" i="1"/>
  <c r="U326" i="1"/>
  <c r="S327" i="1"/>
  <c r="T327" i="1"/>
  <c r="U327" i="1"/>
  <c r="S328" i="1"/>
  <c r="T328" i="1"/>
  <c r="U328" i="1"/>
  <c r="S329" i="1"/>
  <c r="T329" i="1"/>
  <c r="U329" i="1"/>
  <c r="S352" i="1"/>
  <c r="T352" i="1"/>
  <c r="U352" i="1"/>
  <c r="S357" i="1"/>
  <c r="T357" i="1"/>
  <c r="U357" i="1"/>
  <c r="S359" i="1"/>
  <c r="T359" i="1"/>
  <c r="U359" i="1"/>
  <c r="S370" i="1"/>
  <c r="T370" i="1"/>
  <c r="U370" i="1"/>
  <c r="S375" i="1"/>
  <c r="T375" i="1"/>
  <c r="U375" i="1"/>
  <c r="S377" i="1"/>
  <c r="T377" i="1"/>
  <c r="U377" i="1"/>
  <c r="S385" i="1"/>
  <c r="T385" i="1"/>
  <c r="U385" i="1"/>
  <c r="S391" i="1"/>
  <c r="T391" i="1"/>
  <c r="U391" i="1"/>
  <c r="S394" i="1"/>
  <c r="T394" i="1"/>
  <c r="U394" i="1"/>
  <c r="S412" i="1"/>
  <c r="T412" i="1"/>
  <c r="U412" i="1"/>
  <c r="S434" i="1"/>
  <c r="T434" i="1"/>
  <c r="U434" i="1"/>
  <c r="S436" i="1"/>
  <c r="T436" i="1"/>
  <c r="U436" i="1"/>
  <c r="S460" i="1"/>
  <c r="T460" i="1"/>
  <c r="U460" i="1"/>
  <c r="S218" i="1"/>
  <c r="T218" i="1"/>
  <c r="U218" i="1"/>
  <c r="S252" i="1"/>
  <c r="T252" i="1"/>
  <c r="U252" i="1"/>
  <c r="S295" i="1"/>
  <c r="T295" i="1"/>
  <c r="U295" i="1"/>
  <c r="S310" i="1"/>
  <c r="T310" i="1"/>
  <c r="U310" i="1"/>
  <c r="S343" i="1"/>
  <c r="T343" i="1"/>
  <c r="U343" i="1"/>
  <c r="S372" i="1"/>
  <c r="T372" i="1"/>
  <c r="U372" i="1"/>
  <c r="S400" i="1"/>
  <c r="T400" i="1"/>
  <c r="U400" i="1"/>
  <c r="C6" i="1"/>
  <c r="C16" i="1"/>
  <c r="C18" i="1"/>
  <c r="C19" i="1"/>
  <c r="C20" i="1"/>
  <c r="C21" i="1"/>
  <c r="C22" i="1"/>
  <c r="C23" i="1"/>
  <c r="C24" i="1"/>
  <c r="C40" i="1"/>
  <c r="C41" i="1"/>
  <c r="C42" i="1"/>
  <c r="C47" i="1"/>
  <c r="C67" i="1"/>
  <c r="C68" i="1"/>
  <c r="C81" i="1"/>
  <c r="C90" i="1"/>
  <c r="C91" i="1"/>
  <c r="C97" i="1"/>
  <c r="C101" i="1"/>
  <c r="C110" i="1"/>
  <c r="C116" i="1"/>
  <c r="C117" i="1"/>
  <c r="C118" i="1"/>
  <c r="C119" i="1"/>
  <c r="C120" i="1"/>
  <c r="C141" i="1"/>
  <c r="C149" i="1"/>
  <c r="C150" i="1"/>
  <c r="C157" i="1"/>
  <c r="C158" i="1"/>
  <c r="C165" i="1"/>
  <c r="C166" i="1"/>
  <c r="C178" i="1"/>
  <c r="C179" i="1"/>
  <c r="C193" i="1"/>
  <c r="C200" i="1"/>
  <c r="C201" i="1"/>
  <c r="C210" i="1"/>
  <c r="C212" i="1"/>
  <c r="C213" i="1"/>
  <c r="C214" i="1"/>
  <c r="C219" i="1"/>
  <c r="C220" i="1"/>
  <c r="C223" i="1"/>
  <c r="C226" i="1"/>
  <c r="C242" i="1"/>
  <c r="C247" i="1"/>
  <c r="C248" i="1"/>
  <c r="C257" i="1"/>
  <c r="C258" i="1"/>
  <c r="C259" i="1"/>
  <c r="C260" i="1"/>
  <c r="C285" i="1"/>
  <c r="C286" i="1"/>
  <c r="C300" i="1"/>
  <c r="C301" i="1"/>
  <c r="C302" i="1"/>
  <c r="C314" i="1"/>
  <c r="C335" i="1"/>
  <c r="C336" i="1"/>
  <c r="C345" i="1"/>
  <c r="C346" i="1"/>
  <c r="C347" i="1"/>
  <c r="C364" i="1"/>
  <c r="C366" i="1"/>
  <c r="C382" i="1"/>
  <c r="C384" i="1"/>
  <c r="C395" i="1"/>
  <c r="C365" i="1"/>
  <c r="C396" i="1"/>
  <c r="C402" i="1"/>
  <c r="C404" i="1"/>
  <c r="C403" i="1"/>
  <c r="C414" i="1"/>
  <c r="C421" i="1"/>
  <c r="C422" i="1"/>
  <c r="C423" i="1"/>
  <c r="C437" i="1"/>
  <c r="C438" i="1"/>
  <c r="C439" i="1"/>
  <c r="C440" i="1"/>
  <c r="C448" i="1"/>
  <c r="C449" i="1"/>
  <c r="C450" i="1"/>
  <c r="C451" i="1"/>
  <c r="C452" i="1"/>
  <c r="C453" i="1"/>
  <c r="C461" i="1"/>
  <c r="C482" i="1"/>
  <c r="C483" i="1"/>
  <c r="C484" i="1"/>
  <c r="C485" i="1"/>
  <c r="C500" i="1"/>
  <c r="D6" i="1"/>
  <c r="D16" i="1"/>
  <c r="D18" i="1"/>
  <c r="D19" i="1"/>
  <c r="D20" i="1"/>
  <c r="D21" i="1"/>
  <c r="D22" i="1"/>
  <c r="D23" i="1"/>
  <c r="D24" i="1"/>
  <c r="D40" i="1"/>
  <c r="D41" i="1"/>
  <c r="D42" i="1"/>
  <c r="D47" i="1"/>
  <c r="D67" i="1"/>
  <c r="D68" i="1"/>
  <c r="D81" i="1"/>
  <c r="D90" i="1"/>
  <c r="D91" i="1"/>
  <c r="D97" i="1"/>
  <c r="D101" i="1"/>
  <c r="D110" i="1"/>
  <c r="D116" i="1"/>
  <c r="D117" i="1"/>
  <c r="D118" i="1"/>
  <c r="D119" i="1"/>
  <c r="D120" i="1"/>
  <c r="D141" i="1"/>
  <c r="D149" i="1"/>
  <c r="D150" i="1"/>
  <c r="D157" i="1"/>
  <c r="D158" i="1"/>
  <c r="D165" i="1"/>
  <c r="D166" i="1"/>
  <c r="D178" i="1"/>
  <c r="D179" i="1"/>
  <c r="D193" i="1"/>
  <c r="D200" i="1"/>
  <c r="D201" i="1"/>
  <c r="D210" i="1"/>
  <c r="D212" i="1"/>
  <c r="D213" i="1"/>
  <c r="D214" i="1"/>
  <c r="D219" i="1"/>
  <c r="D220" i="1"/>
  <c r="D223" i="1"/>
  <c r="D226" i="1"/>
  <c r="D242" i="1"/>
  <c r="D247" i="1"/>
  <c r="D248" i="1"/>
  <c r="D257" i="1"/>
  <c r="D258" i="1"/>
  <c r="D259" i="1"/>
  <c r="D260" i="1"/>
  <c r="D285" i="1"/>
  <c r="D286" i="1"/>
  <c r="D300" i="1"/>
  <c r="D301" i="1"/>
  <c r="D302" i="1"/>
  <c r="D314" i="1"/>
  <c r="D335" i="1"/>
  <c r="D336" i="1"/>
  <c r="D345" i="1"/>
  <c r="D346" i="1"/>
  <c r="D347" i="1"/>
  <c r="D364" i="1"/>
  <c r="D366" i="1"/>
  <c r="D382" i="1"/>
  <c r="D384" i="1"/>
  <c r="D395" i="1"/>
  <c r="D365" i="1"/>
  <c r="D396" i="1"/>
  <c r="D402" i="1"/>
  <c r="D404" i="1"/>
  <c r="D403" i="1"/>
  <c r="D414" i="1"/>
  <c r="D421" i="1"/>
  <c r="D422" i="1"/>
  <c r="D423" i="1"/>
  <c r="D437" i="1"/>
  <c r="D438" i="1"/>
  <c r="D439" i="1"/>
  <c r="D440" i="1"/>
  <c r="D448" i="1"/>
  <c r="D449" i="1"/>
  <c r="D450" i="1"/>
  <c r="D451" i="1"/>
  <c r="D452" i="1"/>
  <c r="D453" i="1"/>
  <c r="D461" i="1"/>
  <c r="D482" i="1"/>
  <c r="D483" i="1"/>
  <c r="D484" i="1"/>
  <c r="D485" i="1"/>
  <c r="D500" i="1"/>
  <c r="S4" i="1"/>
  <c r="T4" i="1"/>
  <c r="U4" i="1"/>
  <c r="AE4" i="1"/>
  <c r="AE5" i="1"/>
  <c r="AE6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2" i="1"/>
  <c r="AE113" i="1"/>
  <c r="AE114" i="1"/>
  <c r="AE115" i="1"/>
  <c r="AE116" i="1"/>
  <c r="AE117" i="1"/>
  <c r="AE118" i="1"/>
  <c r="AE119" i="1"/>
  <c r="AE120" i="1"/>
  <c r="AE123" i="1"/>
  <c r="AE124" i="1"/>
  <c r="AE125" i="1"/>
  <c r="AE127" i="1"/>
  <c r="AE128" i="1"/>
  <c r="AE129" i="1"/>
  <c r="AE130" i="1"/>
  <c r="AE135" i="1"/>
  <c r="AE137" i="1"/>
  <c r="AE138" i="1"/>
  <c r="AE139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4" i="1"/>
  <c r="AE155" i="1"/>
  <c r="AE157" i="1"/>
  <c r="AE158" i="1"/>
  <c r="AE160" i="1"/>
  <c r="AE161" i="1"/>
  <c r="AE164" i="1"/>
  <c r="AE165" i="1"/>
  <c r="AE166" i="1"/>
  <c r="AE169" i="1"/>
  <c r="AE171" i="1"/>
  <c r="AE172" i="1"/>
  <c r="AE175" i="1"/>
  <c r="AE176" i="1"/>
  <c r="AE178" i="1"/>
  <c r="AE179" i="1"/>
  <c r="AE181" i="1"/>
  <c r="AE184" i="1"/>
  <c r="AE185" i="1"/>
  <c r="AE186" i="1"/>
  <c r="AE187" i="1"/>
  <c r="AE188" i="1"/>
  <c r="AE189" i="1"/>
  <c r="AE190" i="1"/>
  <c r="AE193" i="1"/>
  <c r="AE194" i="1"/>
  <c r="AE196" i="1"/>
  <c r="AE197" i="1"/>
  <c r="AE198" i="1"/>
  <c r="AE200" i="1"/>
  <c r="AE201" i="1"/>
  <c r="AE204" i="1"/>
  <c r="AE205" i="1"/>
  <c r="AE206" i="1"/>
  <c r="AE207" i="1"/>
  <c r="AE209" i="1"/>
  <c r="AE210" i="1"/>
  <c r="AE212" i="1"/>
  <c r="AE213" i="1"/>
  <c r="AE214" i="1"/>
  <c r="AE216" i="1"/>
  <c r="AE219" i="1"/>
  <c r="AE220" i="1"/>
  <c r="AE221" i="1"/>
  <c r="AE223" i="1"/>
  <c r="AE226" i="1"/>
  <c r="AE228" i="1"/>
  <c r="AE231" i="1"/>
  <c r="AE232" i="1"/>
  <c r="AE233" i="1"/>
  <c r="AE234" i="1"/>
  <c r="AE236" i="1"/>
  <c r="AE237" i="1"/>
  <c r="AE238" i="1"/>
  <c r="AE242" i="1"/>
  <c r="AE244" i="1"/>
  <c r="AE245" i="1"/>
  <c r="AE246" i="1"/>
  <c r="AE247" i="1"/>
  <c r="AE248" i="1"/>
  <c r="AE250" i="1"/>
  <c r="AE251" i="1"/>
  <c r="AE257" i="1"/>
  <c r="AE258" i="1"/>
  <c r="AE259" i="1"/>
  <c r="AE260" i="1"/>
  <c r="AE267" i="1"/>
  <c r="AE274" i="1"/>
  <c r="AE279" i="1"/>
  <c r="AE280" i="1"/>
  <c r="AE281" i="1"/>
  <c r="AE282" i="1"/>
  <c r="AE285" i="1"/>
  <c r="AE286" i="1"/>
  <c r="AE289" i="1"/>
  <c r="AE290" i="1"/>
  <c r="AE291" i="1"/>
  <c r="AE292" i="1"/>
  <c r="AE293" i="1"/>
  <c r="AE294" i="1"/>
  <c r="AE296" i="1"/>
  <c r="AE298" i="1"/>
  <c r="AE300" i="1"/>
  <c r="AE301" i="1"/>
  <c r="AE302" i="1"/>
  <c r="AE305" i="1"/>
  <c r="AE307" i="1"/>
  <c r="AE308" i="1"/>
  <c r="AE309" i="1"/>
  <c r="AE312" i="1"/>
  <c r="AE314" i="1"/>
  <c r="AE316" i="1"/>
  <c r="AE317" i="1"/>
  <c r="AE318" i="1"/>
  <c r="AE319" i="1"/>
  <c r="AE321" i="1"/>
  <c r="AE324" i="1"/>
  <c r="AE325" i="1"/>
  <c r="AE330" i="1"/>
  <c r="AE331" i="1"/>
  <c r="AE332" i="1"/>
  <c r="AE333" i="1"/>
  <c r="AE335" i="1"/>
  <c r="AE336" i="1"/>
  <c r="AE337" i="1"/>
  <c r="AE338" i="1"/>
  <c r="AE339" i="1"/>
  <c r="AE340" i="1"/>
  <c r="AE341" i="1"/>
  <c r="AE342" i="1"/>
  <c r="AE345" i="1"/>
  <c r="AE346" i="1"/>
  <c r="AE347" i="1"/>
  <c r="AE353" i="1"/>
  <c r="AE354" i="1"/>
  <c r="AE355" i="1"/>
  <c r="AE356" i="1"/>
  <c r="AE360" i="1"/>
  <c r="AE361" i="1"/>
  <c r="AE362" i="1"/>
  <c r="AE363" i="1"/>
  <c r="AE364" i="1"/>
  <c r="AE366" i="1"/>
  <c r="AE367" i="1"/>
  <c r="AE368" i="1"/>
  <c r="AE369" i="1"/>
  <c r="AE371" i="1"/>
  <c r="AE374" i="1"/>
  <c r="AE376" i="1"/>
  <c r="AE379" i="1"/>
  <c r="AE380" i="1"/>
  <c r="AE381" i="1"/>
  <c r="AE382" i="1"/>
  <c r="AE383" i="1"/>
  <c r="AE384" i="1"/>
  <c r="AE386" i="1"/>
  <c r="AE389" i="1"/>
  <c r="AE390" i="1"/>
  <c r="AE392" i="1"/>
  <c r="AE395" i="1"/>
  <c r="AE365" i="1"/>
  <c r="AE397" i="1"/>
  <c r="AE398" i="1"/>
  <c r="AE399" i="1"/>
  <c r="AE396" i="1"/>
  <c r="AE402" i="1"/>
  <c r="AE404" i="1"/>
  <c r="AE408" i="1"/>
  <c r="AE411" i="1"/>
  <c r="AE413" i="1"/>
  <c r="AE403" i="1"/>
  <c r="AE414" i="1"/>
  <c r="AE415" i="1"/>
  <c r="AE416" i="1"/>
  <c r="AE417" i="1"/>
  <c r="AE418" i="1"/>
  <c r="AE419" i="1"/>
  <c r="AE421" i="1"/>
  <c r="AE422" i="1"/>
  <c r="AE423" i="1"/>
  <c r="AE426" i="1"/>
  <c r="AE427" i="1"/>
  <c r="AE428" i="1"/>
  <c r="AE431" i="1"/>
  <c r="AE432" i="1"/>
  <c r="AE433" i="1"/>
  <c r="AE437" i="1"/>
  <c r="AE438" i="1"/>
  <c r="AE439" i="1"/>
  <c r="AE440" i="1"/>
  <c r="AE442" i="1"/>
  <c r="AE443" i="1"/>
  <c r="AE444" i="1"/>
  <c r="AE445" i="1"/>
  <c r="AE446" i="1"/>
  <c r="AE447" i="1"/>
  <c r="AE448" i="1"/>
  <c r="AE449" i="1"/>
  <c r="AE450" i="1"/>
  <c r="AE451" i="1"/>
  <c r="AE452" i="1"/>
  <c r="AE453" i="1"/>
  <c r="AE455" i="1"/>
  <c r="AE456" i="1"/>
  <c r="AE457" i="1"/>
  <c r="AE459" i="1"/>
  <c r="AE461" i="1"/>
  <c r="AE462" i="1"/>
  <c r="AE463" i="1"/>
  <c r="AE464" i="1"/>
  <c r="AE465" i="1"/>
  <c r="AE466" i="1"/>
  <c r="AE467" i="1"/>
  <c r="AE472" i="1"/>
  <c r="AE473" i="1"/>
  <c r="AE475" i="1"/>
  <c r="AE476" i="1"/>
  <c r="AE477" i="1"/>
  <c r="AE478" i="1"/>
  <c r="AE481" i="1"/>
  <c r="AE482" i="1"/>
  <c r="AE483" i="1"/>
  <c r="AE484" i="1"/>
  <c r="AE485" i="1"/>
  <c r="AE488" i="1"/>
  <c r="AE490" i="1"/>
  <c r="AE491" i="1"/>
  <c r="AE492" i="1"/>
  <c r="AE493" i="1"/>
  <c r="AE494" i="1"/>
  <c r="AE495" i="1"/>
  <c r="AE496" i="1"/>
  <c r="AE497" i="1"/>
  <c r="AE498" i="1"/>
  <c r="AE499" i="1"/>
  <c r="AE500" i="1"/>
  <c r="AE503" i="1"/>
  <c r="AE505" i="1"/>
  <c r="AE506" i="1"/>
  <c r="AE507" i="1"/>
  <c r="AE508" i="1"/>
  <c r="AE510" i="1"/>
  <c r="AE511" i="1"/>
  <c r="AM67" i="1" l="1"/>
  <c r="AM116" i="1"/>
  <c r="AM300" i="1"/>
  <c r="AM395" i="1"/>
  <c r="H17" i="52"/>
  <c r="H16" i="52"/>
  <c r="H15" i="52"/>
  <c r="H14" i="52"/>
  <c r="H13" i="52"/>
  <c r="H12" i="52"/>
  <c r="H11" i="52"/>
  <c r="H10" i="52"/>
  <c r="H9" i="52"/>
  <c r="H8" i="52"/>
  <c r="H7" i="52"/>
  <c r="H6" i="52"/>
  <c r="H5" i="52"/>
  <c r="H4" i="52"/>
  <c r="E34" i="17" l="1"/>
  <c r="G34" i="17" s="1"/>
  <c r="J34" i="17" s="1"/>
  <c r="K34" i="17"/>
  <c r="Z34" i="17" s="1"/>
  <c r="L34" i="17"/>
  <c r="M34" i="17"/>
  <c r="N34" i="17"/>
  <c r="O34" i="17"/>
  <c r="E41" i="17"/>
  <c r="G41" i="17" s="1"/>
  <c r="I41" i="17" s="1"/>
  <c r="K41" i="17"/>
  <c r="Z41" i="17" s="1"/>
  <c r="L41" i="17"/>
  <c r="M41" i="17"/>
  <c r="N41" i="17"/>
  <c r="O41" i="17"/>
  <c r="E42" i="17"/>
  <c r="G42" i="17" s="1"/>
  <c r="I42" i="17" s="1"/>
  <c r="K42" i="17"/>
  <c r="U42" i="17" s="1"/>
  <c r="L42" i="17"/>
  <c r="M42" i="17"/>
  <c r="N42" i="17"/>
  <c r="O42" i="17"/>
  <c r="E48" i="17"/>
  <c r="G48" i="17" s="1"/>
  <c r="I48" i="17" s="1"/>
  <c r="K48" i="17"/>
  <c r="Z48" i="17" s="1"/>
  <c r="L48" i="17"/>
  <c r="M48" i="17"/>
  <c r="N48" i="17"/>
  <c r="O48" i="17"/>
  <c r="E45" i="17"/>
  <c r="G45" i="17" s="1"/>
  <c r="J45" i="17" s="1"/>
  <c r="K45" i="17"/>
  <c r="Z45" i="17" s="1"/>
  <c r="L45" i="17"/>
  <c r="M45" i="17"/>
  <c r="N45" i="17"/>
  <c r="O45" i="17"/>
  <c r="E49" i="17"/>
  <c r="G49" i="17" s="1"/>
  <c r="I49" i="17" s="1"/>
  <c r="K49" i="17"/>
  <c r="Z49" i="17" s="1"/>
  <c r="L49" i="17"/>
  <c r="M49" i="17"/>
  <c r="N49" i="17"/>
  <c r="O49" i="17"/>
  <c r="P49" i="17" s="1"/>
  <c r="Q49" i="17" s="1"/>
  <c r="S49" i="17"/>
  <c r="T49" i="17"/>
  <c r="X49" i="17"/>
  <c r="E47" i="17"/>
  <c r="G47" i="17" s="1"/>
  <c r="J47" i="17" s="1"/>
  <c r="K47" i="17"/>
  <c r="Z47" i="17" s="1"/>
  <c r="L47" i="17"/>
  <c r="M47" i="17"/>
  <c r="N47" i="17"/>
  <c r="O47" i="17"/>
  <c r="P47" i="17" s="1"/>
  <c r="Q47" i="17" s="1"/>
  <c r="S47" i="17"/>
  <c r="T47" i="17"/>
  <c r="X47" i="17"/>
  <c r="E39" i="17"/>
  <c r="G39" i="17" s="1"/>
  <c r="J39" i="17" s="1"/>
  <c r="K39" i="17"/>
  <c r="Z39" i="17" s="1"/>
  <c r="L39" i="17"/>
  <c r="M39" i="17"/>
  <c r="N39" i="17"/>
  <c r="O39" i="17"/>
  <c r="E40" i="17"/>
  <c r="G40" i="17" s="1"/>
  <c r="I40" i="17" s="1"/>
  <c r="K40" i="17"/>
  <c r="U40" i="17" s="1"/>
  <c r="L40" i="17"/>
  <c r="M40" i="17"/>
  <c r="N40" i="17"/>
  <c r="O40" i="17"/>
  <c r="E44" i="17"/>
  <c r="G44" i="17" s="1"/>
  <c r="J44" i="17" s="1"/>
  <c r="K44" i="17"/>
  <c r="U44" i="17" s="1"/>
  <c r="L44" i="17"/>
  <c r="M44" i="17"/>
  <c r="N44" i="17"/>
  <c r="O44" i="17"/>
  <c r="E43" i="17"/>
  <c r="K43" i="17"/>
  <c r="Z43" i="17" s="1"/>
  <c r="L43" i="17"/>
  <c r="M43" i="17"/>
  <c r="N43" i="17"/>
  <c r="O43" i="17"/>
  <c r="E46" i="17"/>
  <c r="G46" i="17" s="1"/>
  <c r="J46" i="17" s="1"/>
  <c r="K46" i="17"/>
  <c r="Z46" i="17" s="1"/>
  <c r="L46" i="17"/>
  <c r="M46" i="17"/>
  <c r="N46" i="17"/>
  <c r="O46" i="17"/>
  <c r="U34" i="17" l="1"/>
  <c r="U49" i="17"/>
  <c r="U48" i="17"/>
  <c r="U47" i="17"/>
  <c r="U46" i="17"/>
  <c r="U45" i="17"/>
  <c r="U43" i="17"/>
  <c r="U41" i="17"/>
  <c r="U39" i="17"/>
  <c r="J48" i="17"/>
  <c r="J49" i="17"/>
  <c r="J40" i="17"/>
  <c r="J41" i="17"/>
  <c r="J42" i="17"/>
  <c r="I34" i="17"/>
  <c r="R34" i="17"/>
  <c r="Z42" i="17"/>
  <c r="R41" i="17"/>
  <c r="R42" i="17"/>
  <c r="Y49" i="17"/>
  <c r="R48" i="17"/>
  <c r="I45" i="17"/>
  <c r="R45" i="17"/>
  <c r="W49" i="17"/>
  <c r="V49" i="17"/>
  <c r="R49" i="17"/>
  <c r="Y47" i="17"/>
  <c r="I47" i="17"/>
  <c r="R47" i="17"/>
  <c r="V47" i="17"/>
  <c r="W47" i="17"/>
  <c r="Z40" i="17"/>
  <c r="I39" i="17"/>
  <c r="R39" i="17"/>
  <c r="Z44" i="17"/>
  <c r="R40" i="17"/>
  <c r="I44" i="17"/>
  <c r="R44" i="17"/>
  <c r="G43" i="17"/>
  <c r="J43" i="17" s="1"/>
  <c r="I46" i="17"/>
  <c r="R46" i="17"/>
  <c r="I43" i="17" l="1"/>
  <c r="R43" i="17"/>
  <c r="AF61" i="1" l="1"/>
  <c r="AG61" i="1"/>
  <c r="AH61" i="1"/>
  <c r="AI61" i="1"/>
  <c r="AF62" i="1"/>
  <c r="AG62" i="1"/>
  <c r="AH62" i="1"/>
  <c r="AI62" i="1"/>
  <c r="AF60" i="1"/>
  <c r="AG60" i="1"/>
  <c r="AH60" i="1"/>
  <c r="AI60" i="1"/>
  <c r="AF96" i="1"/>
  <c r="AG96" i="1"/>
  <c r="AH96" i="1"/>
  <c r="AI96" i="1"/>
  <c r="AF100" i="1"/>
  <c r="AG100" i="1"/>
  <c r="AH100" i="1"/>
  <c r="AI100" i="1"/>
  <c r="AF99" i="1"/>
  <c r="AG99" i="1"/>
  <c r="AH99" i="1"/>
  <c r="AI99" i="1"/>
  <c r="AF104" i="1"/>
  <c r="AG104" i="1"/>
  <c r="AH104" i="1"/>
  <c r="AI104" i="1"/>
  <c r="AF106" i="1"/>
  <c r="AG106" i="1"/>
  <c r="AH106" i="1"/>
  <c r="AI106" i="1"/>
  <c r="AF107" i="1"/>
  <c r="AG107" i="1"/>
  <c r="AH107" i="1"/>
  <c r="AI107" i="1"/>
  <c r="AF56" i="1"/>
  <c r="AG56" i="1"/>
  <c r="AH56" i="1"/>
  <c r="AI56" i="1"/>
  <c r="AF58" i="1"/>
  <c r="AG58" i="1"/>
  <c r="AH58" i="1"/>
  <c r="AI58" i="1"/>
  <c r="AF29" i="1"/>
  <c r="AG29" i="1"/>
  <c r="AH29" i="1"/>
  <c r="AI29" i="1"/>
  <c r="AF33" i="1"/>
  <c r="AG33" i="1"/>
  <c r="AH33" i="1"/>
  <c r="AI33" i="1"/>
  <c r="AF32" i="1"/>
  <c r="AG32" i="1"/>
  <c r="AH32" i="1"/>
  <c r="AI32" i="1"/>
  <c r="AF36" i="1"/>
  <c r="AG36" i="1"/>
  <c r="AH36" i="1"/>
  <c r="AI36" i="1"/>
  <c r="AF35" i="1"/>
  <c r="AG35" i="1"/>
  <c r="AH35" i="1"/>
  <c r="AI35" i="1"/>
  <c r="AF34" i="1"/>
  <c r="AG34" i="1"/>
  <c r="AH34" i="1"/>
  <c r="AI34" i="1"/>
  <c r="AF38" i="1"/>
  <c r="AG38" i="1"/>
  <c r="AH38" i="1"/>
  <c r="AI38" i="1"/>
  <c r="AF39" i="1"/>
  <c r="AG39" i="1"/>
  <c r="AH39" i="1"/>
  <c r="AI39" i="1"/>
  <c r="AF37" i="1"/>
  <c r="AG37" i="1"/>
  <c r="AH37" i="1"/>
  <c r="AI37" i="1"/>
  <c r="AF52" i="1"/>
  <c r="AG52" i="1"/>
  <c r="AH52" i="1"/>
  <c r="AI52" i="1"/>
  <c r="AF55" i="1"/>
  <c r="AG55" i="1"/>
  <c r="AH55" i="1"/>
  <c r="AI55" i="1"/>
  <c r="AF59" i="1"/>
  <c r="AG59" i="1"/>
  <c r="AH59" i="1"/>
  <c r="AI59" i="1"/>
  <c r="AF57" i="1"/>
  <c r="AG57" i="1"/>
  <c r="AH57" i="1"/>
  <c r="AI57" i="1"/>
  <c r="AF103" i="1"/>
  <c r="AG103" i="1"/>
  <c r="AH103" i="1"/>
  <c r="AI103" i="1"/>
  <c r="AF102" i="1"/>
  <c r="AG102" i="1"/>
  <c r="AH102" i="1"/>
  <c r="AI102" i="1"/>
  <c r="AF105" i="1"/>
  <c r="AG105" i="1"/>
  <c r="AH105" i="1"/>
  <c r="AI105" i="1"/>
  <c r="P45" i="17" l="1"/>
  <c r="Q45" i="17" s="1"/>
  <c r="P42" i="17"/>
  <c r="Q42" i="17" s="1"/>
  <c r="P41" i="17"/>
  <c r="Q41" i="17" s="1"/>
  <c r="P40" i="17"/>
  <c r="Q40" i="17" s="1"/>
  <c r="P39" i="17"/>
  <c r="Q39" i="17" s="1"/>
  <c r="P44" i="17"/>
  <c r="Q44" i="17" s="1"/>
  <c r="P48" i="17"/>
  <c r="Q48" i="17" s="1"/>
  <c r="P43" i="17"/>
  <c r="Q43" i="17" s="1"/>
  <c r="P46" i="17"/>
  <c r="Q46" i="17" s="1"/>
  <c r="S41" i="17"/>
  <c r="T41" i="17"/>
  <c r="X41" i="17"/>
  <c r="X42" i="17"/>
  <c r="S42" i="17"/>
  <c r="T42" i="17"/>
  <c r="X48" i="17"/>
  <c r="S48" i="17"/>
  <c r="T48" i="17"/>
  <c r="X45" i="17"/>
  <c r="S45" i="17"/>
  <c r="T45" i="17"/>
  <c r="X39" i="17"/>
  <c r="S39" i="17"/>
  <c r="T39" i="17"/>
  <c r="S40" i="17"/>
  <c r="X40" i="17"/>
  <c r="T40" i="17"/>
  <c r="S44" i="17"/>
  <c r="T44" i="17"/>
  <c r="X44" i="17"/>
  <c r="S43" i="17"/>
  <c r="T43" i="17"/>
  <c r="X43" i="17"/>
  <c r="S46" i="17"/>
  <c r="X46" i="17"/>
  <c r="T46" i="17"/>
  <c r="AJ62" i="1"/>
  <c r="AJ61" i="1"/>
  <c r="AJ60" i="1"/>
  <c r="AJ96" i="1"/>
  <c r="AJ99" i="1"/>
  <c r="AJ104" i="1"/>
  <c r="AJ100" i="1"/>
  <c r="AJ56" i="1"/>
  <c r="AJ106" i="1"/>
  <c r="AJ107" i="1"/>
  <c r="AJ58" i="1"/>
  <c r="AJ33" i="1"/>
  <c r="AJ29" i="1"/>
  <c r="AJ32" i="1"/>
  <c r="AJ34" i="1"/>
  <c r="AJ36" i="1"/>
  <c r="AJ38" i="1"/>
  <c r="AJ35" i="1"/>
  <c r="AJ39" i="1"/>
  <c r="AJ37" i="1"/>
  <c r="AJ55" i="1"/>
  <c r="AJ59" i="1"/>
  <c r="AJ52" i="1"/>
  <c r="AJ103" i="1"/>
  <c r="AJ57" i="1"/>
  <c r="AJ102" i="1"/>
  <c r="AJ105" i="1"/>
  <c r="Y41" i="17" l="1"/>
  <c r="W41" i="17"/>
  <c r="V41" i="17"/>
  <c r="W42" i="17"/>
  <c r="Y42" i="17"/>
  <c r="V42" i="17"/>
  <c r="W48" i="17"/>
  <c r="Y48" i="17"/>
  <c r="V48" i="17"/>
  <c r="W45" i="17"/>
  <c r="Y45" i="17"/>
  <c r="V45" i="17"/>
  <c r="W39" i="17"/>
  <c r="Y39" i="17"/>
  <c r="V39" i="17"/>
  <c r="W40" i="17"/>
  <c r="Y40" i="17"/>
  <c r="V40" i="17"/>
  <c r="Y44" i="17"/>
  <c r="V44" i="17"/>
  <c r="W44" i="17"/>
  <c r="Y43" i="17"/>
  <c r="W43" i="17"/>
  <c r="V43" i="17"/>
  <c r="W46" i="17"/>
  <c r="Y46" i="17"/>
  <c r="V46" i="17"/>
  <c r="AF483" i="1" l="1"/>
  <c r="AG483" i="1"/>
  <c r="AH483" i="1"/>
  <c r="AI483" i="1"/>
  <c r="AF484" i="1"/>
  <c r="AG484" i="1"/>
  <c r="AH484" i="1"/>
  <c r="AI484" i="1"/>
  <c r="AF154" i="1"/>
  <c r="AG154" i="1"/>
  <c r="AH154" i="1"/>
  <c r="AI154" i="1"/>
  <c r="AF245" i="1"/>
  <c r="AG245" i="1"/>
  <c r="AH245" i="1"/>
  <c r="AI245" i="1"/>
  <c r="AF296" i="1"/>
  <c r="AG296" i="1"/>
  <c r="AH296" i="1"/>
  <c r="AI296" i="1"/>
  <c r="AF411" i="1"/>
  <c r="AG411" i="1"/>
  <c r="AH411" i="1"/>
  <c r="AI411" i="1"/>
  <c r="AF510" i="1"/>
  <c r="AG510" i="1"/>
  <c r="AH510" i="1"/>
  <c r="AI510" i="1"/>
  <c r="AF472" i="1"/>
  <c r="AG472" i="1"/>
  <c r="AH472" i="1"/>
  <c r="AI472" i="1"/>
  <c r="L2" i="48"/>
  <c r="L3" i="48"/>
  <c r="L4" i="48"/>
  <c r="L5" i="48"/>
  <c r="L6" i="48"/>
  <c r="L7" i="48"/>
  <c r="L8" i="48"/>
  <c r="L9" i="48"/>
  <c r="L10" i="48"/>
  <c r="L11" i="48"/>
  <c r="L12" i="48"/>
  <c r="L13" i="48"/>
  <c r="L14" i="48"/>
  <c r="L15" i="48"/>
  <c r="L16" i="48"/>
  <c r="L17" i="48"/>
  <c r="L18" i="48"/>
  <c r="L19" i="48"/>
  <c r="L20" i="48"/>
  <c r="L21" i="48"/>
  <c r="L22" i="48"/>
  <c r="L23" i="48"/>
  <c r="L24" i="48"/>
  <c r="L25" i="48"/>
  <c r="L26" i="48"/>
  <c r="L27" i="48"/>
  <c r="L28" i="48"/>
  <c r="L29" i="48"/>
  <c r="L30" i="48"/>
  <c r="L31" i="48"/>
  <c r="L33" i="48"/>
  <c r="L34" i="48"/>
  <c r="L35" i="48"/>
  <c r="L47" i="48"/>
  <c r="L48" i="48"/>
  <c r="L49" i="48"/>
  <c r="L50" i="48"/>
  <c r="AJ483" i="1" l="1"/>
  <c r="AJ484" i="1"/>
  <c r="AJ411" i="1"/>
  <c r="AJ296" i="1"/>
  <c r="AJ154" i="1"/>
  <c r="AJ245" i="1"/>
  <c r="AJ510" i="1"/>
  <c r="AJ472" i="1"/>
  <c r="AF428" i="1"/>
  <c r="AG428" i="1"/>
  <c r="AH428" i="1"/>
  <c r="AI428" i="1"/>
  <c r="AF473" i="1"/>
  <c r="AG473" i="1"/>
  <c r="AH473" i="1"/>
  <c r="AI473" i="1"/>
  <c r="AJ428" i="1" l="1"/>
  <c r="AJ473" i="1"/>
  <c r="AF14" i="1"/>
  <c r="AG14" i="1"/>
  <c r="AH14" i="1"/>
  <c r="AI14" i="1"/>
  <c r="AF66" i="1"/>
  <c r="AG66" i="1"/>
  <c r="AH66" i="1"/>
  <c r="AI66" i="1"/>
  <c r="AJ14" i="1" l="1"/>
  <c r="AJ66" i="1"/>
  <c r="CJ21" i="49" l="1"/>
  <c r="CI21" i="49"/>
  <c r="CH21" i="49"/>
  <c r="CG21" i="49"/>
  <c r="CF21" i="49"/>
  <c r="CE21" i="49"/>
  <c r="CD21" i="49"/>
  <c r="CC21" i="49"/>
  <c r="CB21" i="49"/>
  <c r="CA21" i="49"/>
  <c r="BZ21" i="49"/>
  <c r="BY21" i="49"/>
  <c r="BX21" i="49"/>
  <c r="BW21" i="49"/>
  <c r="BV21" i="49"/>
  <c r="BU21" i="49"/>
  <c r="BT21" i="49"/>
  <c r="BS21" i="49"/>
  <c r="BR21" i="49"/>
  <c r="BQ21" i="49"/>
  <c r="BP21" i="49"/>
  <c r="BO21" i="49"/>
  <c r="BN21" i="49"/>
  <c r="BM21" i="49"/>
  <c r="BL21" i="49"/>
  <c r="BK21" i="49"/>
  <c r="BJ21" i="49"/>
  <c r="BI21" i="49"/>
  <c r="BH21" i="49"/>
  <c r="BG21" i="49"/>
  <c r="BF21" i="49"/>
  <c r="BE21" i="49"/>
  <c r="BD21" i="49"/>
  <c r="BC21" i="49"/>
  <c r="BB21" i="49"/>
  <c r="BA21" i="49"/>
  <c r="AZ21" i="49"/>
  <c r="AY21" i="49"/>
  <c r="AX21" i="49"/>
  <c r="AW21" i="49"/>
  <c r="AV21" i="49"/>
  <c r="AU21" i="49"/>
  <c r="AT21" i="49"/>
  <c r="AS21" i="49"/>
  <c r="AR21" i="49"/>
  <c r="AQ21" i="49"/>
  <c r="AP21" i="49"/>
  <c r="AO21" i="49"/>
  <c r="AN21" i="49"/>
  <c r="AM21" i="49"/>
  <c r="AL21" i="49"/>
  <c r="AK21" i="49"/>
  <c r="AJ21" i="49"/>
  <c r="AI21" i="49"/>
  <c r="AH21" i="49"/>
  <c r="AG21" i="49"/>
  <c r="AF21" i="49"/>
  <c r="AE21" i="49"/>
  <c r="AD21" i="49"/>
  <c r="AC21" i="49"/>
  <c r="AB21" i="49"/>
  <c r="AA21" i="49"/>
  <c r="Z21" i="49"/>
  <c r="Y21" i="49"/>
  <c r="X21" i="49"/>
  <c r="W21" i="49"/>
  <c r="V21" i="49"/>
  <c r="U21" i="49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E21" i="49"/>
  <c r="D21" i="49"/>
  <c r="C21" i="49"/>
  <c r="B21" i="49"/>
  <c r="U2" i="48" l="1"/>
  <c r="U3" i="48"/>
  <c r="U4" i="48"/>
  <c r="U5" i="48"/>
  <c r="U6" i="48"/>
  <c r="U7" i="48"/>
  <c r="U8" i="48"/>
  <c r="U9" i="48"/>
  <c r="U10" i="48"/>
  <c r="U11" i="48"/>
  <c r="U12" i="48"/>
  <c r="U13" i="48"/>
  <c r="U14" i="48"/>
  <c r="U15" i="48"/>
  <c r="U16" i="48"/>
  <c r="U17" i="48"/>
  <c r="U18" i="48"/>
  <c r="U19" i="48"/>
  <c r="U20" i="48"/>
  <c r="U21" i="48"/>
  <c r="U22" i="48"/>
  <c r="U23" i="48"/>
  <c r="U24" i="48"/>
  <c r="U25" i="48"/>
  <c r="U26" i="48"/>
  <c r="U27" i="48"/>
  <c r="U28" i="48"/>
  <c r="U29" i="48"/>
  <c r="U30" i="48"/>
  <c r="U31" i="48"/>
  <c r="U33" i="48"/>
  <c r="U34" i="48"/>
  <c r="U35" i="48"/>
  <c r="U47" i="48"/>
  <c r="U48" i="48"/>
  <c r="U49" i="48"/>
  <c r="U50" i="48"/>
  <c r="T52" i="48"/>
  <c r="S52" i="48"/>
  <c r="R52" i="48"/>
  <c r="Q52" i="48"/>
  <c r="P52" i="48"/>
  <c r="AE3" i="48" l="1"/>
  <c r="AE2" i="48"/>
  <c r="AE14" i="48"/>
  <c r="AE15" i="48"/>
  <c r="AE20" i="48"/>
  <c r="AE21" i="48"/>
  <c r="AE22" i="48"/>
  <c r="AE23" i="48"/>
  <c r="AE24" i="48"/>
  <c r="AE33" i="48"/>
  <c r="AE50" i="48"/>
  <c r="AG2" i="48"/>
  <c r="AG14" i="48"/>
  <c r="AG15" i="48"/>
  <c r="AG20" i="48"/>
  <c r="AG21" i="48"/>
  <c r="AG22" i="48"/>
  <c r="AG23" i="48"/>
  <c r="AG24" i="48"/>
  <c r="AG33" i="48"/>
  <c r="AG50" i="48"/>
  <c r="AM2" i="48"/>
  <c r="AM14" i="48"/>
  <c r="AM15" i="48"/>
  <c r="AM20" i="48"/>
  <c r="AM21" i="48"/>
  <c r="AM22" i="48"/>
  <c r="AM23" i="48"/>
  <c r="AM24" i="48"/>
  <c r="AM33" i="48"/>
  <c r="AM50" i="48"/>
  <c r="AO2" i="48"/>
  <c r="AO14" i="48"/>
  <c r="AO15" i="48"/>
  <c r="AO20" i="48"/>
  <c r="AO21" i="48"/>
  <c r="AO22" i="48"/>
  <c r="AO23" i="48"/>
  <c r="AO24" i="48"/>
  <c r="AO33" i="48"/>
  <c r="AO50" i="48"/>
  <c r="AW2" i="48"/>
  <c r="AW20" i="48"/>
  <c r="AW21" i="48"/>
  <c r="AW22" i="48"/>
  <c r="AW23" i="48"/>
  <c r="AW24" i="48"/>
  <c r="AW33" i="48"/>
  <c r="AW50" i="48"/>
  <c r="H2" i="48" l="1"/>
  <c r="I2" i="48" s="1"/>
  <c r="M2" i="48" s="1"/>
  <c r="H14" i="48"/>
  <c r="I14" i="48" s="1"/>
  <c r="M14" i="48" s="1"/>
  <c r="H15" i="48"/>
  <c r="I15" i="48" s="1"/>
  <c r="M15" i="48" s="1"/>
  <c r="H20" i="48"/>
  <c r="I20" i="48" s="1"/>
  <c r="M20" i="48" s="1"/>
  <c r="H21" i="48"/>
  <c r="I21" i="48" s="1"/>
  <c r="M21" i="48" s="1"/>
  <c r="H22" i="48"/>
  <c r="I22" i="48" s="1"/>
  <c r="M22" i="48" s="1"/>
  <c r="H23" i="48"/>
  <c r="I23" i="48" s="1"/>
  <c r="M23" i="48" s="1"/>
  <c r="H24" i="48"/>
  <c r="I24" i="48" s="1"/>
  <c r="M24" i="48" s="1"/>
  <c r="H33" i="48"/>
  <c r="I33" i="48" s="1"/>
  <c r="M33" i="48" s="1"/>
  <c r="H50" i="48"/>
  <c r="I50" i="48" s="1"/>
  <c r="M50" i="48" s="1"/>
  <c r="AA52" i="48"/>
  <c r="AB52" i="48"/>
  <c r="AC52" i="48"/>
  <c r="AD52" i="48"/>
  <c r="AF52" i="48"/>
  <c r="AI52" i="48"/>
  <c r="AJ52" i="48"/>
  <c r="AK52" i="48"/>
  <c r="AL52" i="48"/>
  <c r="AR52" i="48"/>
  <c r="AS52" i="48"/>
  <c r="AT52" i="48"/>
  <c r="AV52" i="48"/>
  <c r="AQ52" i="48" l="1"/>
  <c r="Y52" i="48"/>
  <c r="X52" i="48"/>
  <c r="H51" i="48"/>
  <c r="I51" i="48" s="1"/>
  <c r="M51" i="48" s="1"/>
  <c r="AW49" i="48"/>
  <c r="AU49" i="48"/>
  <c r="AO49" i="48"/>
  <c r="AM49" i="48"/>
  <c r="AG49" i="48"/>
  <c r="AE49" i="48"/>
  <c r="H49" i="48"/>
  <c r="I49" i="48" s="1"/>
  <c r="M49" i="48" s="1"/>
  <c r="AW48" i="48"/>
  <c r="AU48" i="48"/>
  <c r="AO48" i="48"/>
  <c r="AM48" i="48"/>
  <c r="AG48" i="48"/>
  <c r="AE48" i="48"/>
  <c r="H48" i="48"/>
  <c r="I48" i="48" s="1"/>
  <c r="M48" i="48" s="1"/>
  <c r="AE47" i="48"/>
  <c r="H47" i="48"/>
  <c r="I47" i="48" s="1"/>
  <c r="M47" i="48" s="1"/>
  <c r="AW35" i="48"/>
  <c r="AU35" i="48"/>
  <c r="AO35" i="48"/>
  <c r="AM35" i="48"/>
  <c r="AG35" i="48"/>
  <c r="AE35" i="48"/>
  <c r="H35" i="48"/>
  <c r="I35" i="48" s="1"/>
  <c r="M35" i="48" s="1"/>
  <c r="AW34" i="48"/>
  <c r="AU34" i="48"/>
  <c r="AO34" i="48"/>
  <c r="AM34" i="48"/>
  <c r="AG34" i="48"/>
  <c r="AE34" i="48"/>
  <c r="H34" i="48"/>
  <c r="I34" i="48" s="1"/>
  <c r="M34" i="48" s="1"/>
  <c r="AW31" i="48"/>
  <c r="AU31" i="48"/>
  <c r="AO31" i="48"/>
  <c r="AM31" i="48"/>
  <c r="AG31" i="48"/>
  <c r="AE31" i="48"/>
  <c r="H31" i="48"/>
  <c r="I31" i="48" s="1"/>
  <c r="M31" i="48" s="1"/>
  <c r="AW30" i="48"/>
  <c r="AU30" i="48"/>
  <c r="AO30" i="48"/>
  <c r="AM30" i="48"/>
  <c r="AG30" i="48"/>
  <c r="AE30" i="48"/>
  <c r="H30" i="48"/>
  <c r="I30" i="48" s="1"/>
  <c r="M30" i="48" s="1"/>
  <c r="AW29" i="48"/>
  <c r="AU29" i="48"/>
  <c r="AO29" i="48"/>
  <c r="AM29" i="48"/>
  <c r="AG29" i="48"/>
  <c r="AE29" i="48"/>
  <c r="H29" i="48"/>
  <c r="I29" i="48" s="1"/>
  <c r="M29" i="48" s="1"/>
  <c r="AW28" i="48"/>
  <c r="AU28" i="48"/>
  <c r="AN28" i="48"/>
  <c r="AO28" i="48" s="1"/>
  <c r="AM28" i="48"/>
  <c r="AG28" i="48"/>
  <c r="AE28" i="48"/>
  <c r="H28" i="48"/>
  <c r="I28" i="48" s="1"/>
  <c r="M28" i="48" s="1"/>
  <c r="AW27" i="48"/>
  <c r="AU27" i="48"/>
  <c r="AN27" i="48"/>
  <c r="AO27" i="48" s="1"/>
  <c r="AM27" i="48"/>
  <c r="AG27" i="48"/>
  <c r="AE27" i="48"/>
  <c r="H27" i="48"/>
  <c r="I27" i="48" s="1"/>
  <c r="M27" i="48" s="1"/>
  <c r="AW26" i="48"/>
  <c r="AU26" i="48"/>
  <c r="AO26" i="48"/>
  <c r="AM26" i="48"/>
  <c r="AG26" i="48"/>
  <c r="AE26" i="48"/>
  <c r="H26" i="48"/>
  <c r="I26" i="48" s="1"/>
  <c r="M26" i="48" s="1"/>
  <c r="AW25" i="48"/>
  <c r="AU25" i="48"/>
  <c r="AO25" i="48"/>
  <c r="AM25" i="48"/>
  <c r="AG25" i="48"/>
  <c r="AE25" i="48"/>
  <c r="H25" i="48"/>
  <c r="I25" i="48" s="1"/>
  <c r="M25" i="48" s="1"/>
  <c r="AW19" i="48"/>
  <c r="AU19" i="48"/>
  <c r="AN19" i="48"/>
  <c r="AM19" i="48"/>
  <c r="AG19" i="48"/>
  <c r="AE19" i="48"/>
  <c r="H19" i="48"/>
  <c r="I19" i="48" s="1"/>
  <c r="M19" i="48" s="1"/>
  <c r="AW18" i="48"/>
  <c r="AU18" i="48"/>
  <c r="AO18" i="48"/>
  <c r="AM18" i="48"/>
  <c r="AG18" i="48"/>
  <c r="AE18" i="48"/>
  <c r="H18" i="48"/>
  <c r="I18" i="48" s="1"/>
  <c r="M18" i="48" s="1"/>
  <c r="AW17" i="48"/>
  <c r="AU17" i="48"/>
  <c r="AO17" i="48"/>
  <c r="AM17" i="48"/>
  <c r="AG17" i="48"/>
  <c r="AE17" i="48"/>
  <c r="H17" i="48"/>
  <c r="I17" i="48" s="1"/>
  <c r="M17" i="48" s="1"/>
  <c r="AW16" i="48"/>
  <c r="AU16" i="48"/>
  <c r="AO16" i="48"/>
  <c r="AM16" i="48"/>
  <c r="AG16" i="48"/>
  <c r="AE16" i="48"/>
  <c r="H16" i="48"/>
  <c r="I16" i="48" s="1"/>
  <c r="M16" i="48" s="1"/>
  <c r="AO13" i="48"/>
  <c r="AM13" i="48"/>
  <c r="AG13" i="48"/>
  <c r="AE13" i="48"/>
  <c r="H13" i="48"/>
  <c r="I13" i="48" s="1"/>
  <c r="M13" i="48" s="1"/>
  <c r="AW12" i="48"/>
  <c r="AU12" i="48"/>
  <c r="AO12" i="48"/>
  <c r="AM12" i="48"/>
  <c r="AG12" i="48"/>
  <c r="AE12" i="48"/>
  <c r="H12" i="48"/>
  <c r="I12" i="48" s="1"/>
  <c r="M12" i="48" s="1"/>
  <c r="AW11" i="48"/>
  <c r="AU11" i="48"/>
  <c r="AO11" i="48"/>
  <c r="AM11" i="48"/>
  <c r="AG11" i="48"/>
  <c r="AE11" i="48"/>
  <c r="H11" i="48"/>
  <c r="I11" i="48" s="1"/>
  <c r="M11" i="48" s="1"/>
  <c r="AW10" i="48"/>
  <c r="AU10" i="48"/>
  <c r="AO10" i="48"/>
  <c r="AM10" i="48"/>
  <c r="AG10" i="48"/>
  <c r="AE10" i="48"/>
  <c r="H10" i="48"/>
  <c r="I10" i="48" s="1"/>
  <c r="M10" i="48" s="1"/>
  <c r="AW9" i="48"/>
  <c r="AU9" i="48"/>
  <c r="AN9" i="48"/>
  <c r="AM9" i="48"/>
  <c r="AG9" i="48"/>
  <c r="AE9" i="48"/>
  <c r="H9" i="48"/>
  <c r="I9" i="48" s="1"/>
  <c r="M9" i="48" s="1"/>
  <c r="AW8" i="48"/>
  <c r="AU8" i="48"/>
  <c r="AO8" i="48"/>
  <c r="AM8" i="48"/>
  <c r="AG8" i="48"/>
  <c r="AE8" i="48"/>
  <c r="H8" i="48"/>
  <c r="I8" i="48" s="1"/>
  <c r="M8" i="48" s="1"/>
  <c r="AW7" i="48"/>
  <c r="AU7" i="48"/>
  <c r="AO7" i="48"/>
  <c r="AM7" i="48"/>
  <c r="AG7" i="48"/>
  <c r="AE7" i="48"/>
  <c r="H7" i="48"/>
  <c r="I7" i="48" s="1"/>
  <c r="M7" i="48" s="1"/>
  <c r="AW6" i="48"/>
  <c r="AU6" i="48"/>
  <c r="AO6" i="48"/>
  <c r="AM6" i="48"/>
  <c r="AG6" i="48"/>
  <c r="AE6" i="48"/>
  <c r="H6" i="48"/>
  <c r="I6" i="48" s="1"/>
  <c r="M6" i="48" s="1"/>
  <c r="AW5" i="48"/>
  <c r="AU5" i="48"/>
  <c r="AO5" i="48"/>
  <c r="AM5" i="48"/>
  <c r="AG5" i="48"/>
  <c r="AE5" i="48"/>
  <c r="H5" i="48"/>
  <c r="I5" i="48" s="1"/>
  <c r="M5" i="48" s="1"/>
  <c r="AW4" i="48"/>
  <c r="AU4" i="48"/>
  <c r="AO4" i="48"/>
  <c r="AM4" i="48"/>
  <c r="AG4" i="48"/>
  <c r="AE4" i="48"/>
  <c r="H4" i="48"/>
  <c r="I4" i="48" s="1"/>
  <c r="M4" i="48" s="1"/>
  <c r="AW3" i="48"/>
  <c r="AU3" i="48"/>
  <c r="AO3" i="48"/>
  <c r="AM3" i="48"/>
  <c r="AG3" i="48"/>
  <c r="H3" i="48"/>
  <c r="I3" i="48" s="1"/>
  <c r="M3" i="48" s="1"/>
  <c r="AO9" i="48" l="1"/>
  <c r="AN52" i="48"/>
  <c r="AO19" i="48"/>
  <c r="AF302" i="1" l="1"/>
  <c r="AF404" i="1"/>
  <c r="AF366" i="1"/>
  <c r="AF485" i="1"/>
  <c r="AF80" i="1"/>
  <c r="AF89" i="1"/>
  <c r="AF130" i="1"/>
  <c r="AF148" i="1"/>
  <c r="AF155" i="1"/>
  <c r="AF172" i="1"/>
  <c r="AF197" i="1"/>
  <c r="AF221" i="1"/>
  <c r="AF246" i="1"/>
  <c r="AF281" i="1"/>
  <c r="AF312" i="1"/>
  <c r="AF333" i="1"/>
  <c r="AF355" i="1"/>
  <c r="AF376" i="1"/>
  <c r="AF392" i="1"/>
  <c r="AF413" i="1"/>
  <c r="AF431" i="1"/>
  <c r="AF459" i="1"/>
  <c r="AF476" i="1"/>
  <c r="AF498" i="1"/>
  <c r="AF5" i="1"/>
  <c r="AF8" i="1"/>
  <c r="AF43" i="1"/>
  <c r="AF71" i="1"/>
  <c r="AF83" i="1"/>
  <c r="AF98" i="1"/>
  <c r="AF142" i="1"/>
  <c r="AF160" i="1"/>
  <c r="AF181" i="1"/>
  <c r="AF204" i="1"/>
  <c r="AF228" i="1"/>
  <c r="AF316" i="1"/>
  <c r="AF337" i="1"/>
  <c r="AF367" i="1"/>
  <c r="AF415" i="1"/>
  <c r="AF442" i="1"/>
  <c r="AF462" i="1"/>
  <c r="AF488" i="1"/>
  <c r="AF13" i="1"/>
  <c r="AF27" i="1"/>
  <c r="AF50" i="1"/>
  <c r="AF74" i="1"/>
  <c r="AF85" i="1"/>
  <c r="AF95" i="1"/>
  <c r="AF123" i="1"/>
  <c r="AF144" i="1"/>
  <c r="AF164" i="1"/>
  <c r="AF184" i="1"/>
  <c r="AF205" i="1"/>
  <c r="AF232" i="1"/>
  <c r="AF280" i="1"/>
  <c r="AF305" i="1"/>
  <c r="AF325" i="1"/>
  <c r="AF331" i="1"/>
  <c r="AF360" i="1"/>
  <c r="AF380" i="1"/>
  <c r="AF390" i="1"/>
  <c r="AF419" i="1"/>
  <c r="AF447" i="1"/>
  <c r="AF463" i="1"/>
  <c r="AF490" i="1"/>
  <c r="AF4" i="1"/>
  <c r="AF6" i="1"/>
  <c r="AF23" i="1"/>
  <c r="AF42" i="1"/>
  <c r="AF91" i="1"/>
  <c r="AF110" i="1"/>
  <c r="AF118" i="1"/>
  <c r="AF119" i="1"/>
  <c r="AF141" i="1"/>
  <c r="AF150" i="1"/>
  <c r="AF149" i="1"/>
  <c r="AF158" i="1"/>
  <c r="AF201" i="1"/>
  <c r="AF214" i="1"/>
  <c r="AF226" i="1"/>
  <c r="AF242" i="1"/>
  <c r="AF248" i="1"/>
  <c r="AF259" i="1"/>
  <c r="AF258" i="1"/>
  <c r="AF285" i="1"/>
  <c r="AF301" i="1"/>
  <c r="AF335" i="1"/>
  <c r="AF336" i="1"/>
  <c r="AF346" i="1"/>
  <c r="AF347" i="1"/>
  <c r="AF396" i="1"/>
  <c r="AF403" i="1"/>
  <c r="AF402" i="1"/>
  <c r="AF414" i="1"/>
  <c r="AF365" i="1"/>
  <c r="AF421" i="1"/>
  <c r="AF439" i="1"/>
  <c r="AF453" i="1"/>
  <c r="AF452" i="1"/>
  <c r="AF438" i="1"/>
  <c r="AF500" i="1"/>
  <c r="AF10" i="1"/>
  <c r="AF28" i="1"/>
  <c r="AF51" i="1"/>
  <c r="AF75" i="1"/>
  <c r="AF86" i="1"/>
  <c r="AF92" i="1"/>
  <c r="AF115" i="1"/>
  <c r="AF139" i="1"/>
  <c r="AF124" i="1"/>
  <c r="AF185" i="1"/>
  <c r="AF206" i="1"/>
  <c r="AF233" i="1"/>
  <c r="AF244" i="1"/>
  <c r="AF291" i="1"/>
  <c r="AF319" i="1"/>
  <c r="AF340" i="1"/>
  <c r="AF361" i="1"/>
  <c r="AF381" i="1"/>
  <c r="AF398" i="1"/>
  <c r="AF416" i="1"/>
  <c r="AF443" i="1"/>
  <c r="AF464" i="1"/>
  <c r="AF491" i="1"/>
  <c r="AF505" i="1"/>
  <c r="AG302" i="1"/>
  <c r="AG404" i="1"/>
  <c r="AG366" i="1"/>
  <c r="AG485" i="1"/>
  <c r="AG80" i="1"/>
  <c r="AG89" i="1"/>
  <c r="AG130" i="1"/>
  <c r="AG148" i="1"/>
  <c r="AG155" i="1"/>
  <c r="AG172" i="1"/>
  <c r="AG197" i="1"/>
  <c r="AG221" i="1"/>
  <c r="AG246" i="1"/>
  <c r="AG281" i="1"/>
  <c r="AG312" i="1"/>
  <c r="AG333" i="1"/>
  <c r="AG355" i="1"/>
  <c r="AG376" i="1"/>
  <c r="AG392" i="1"/>
  <c r="AG413" i="1"/>
  <c r="AG431" i="1"/>
  <c r="AG459" i="1"/>
  <c r="AG476" i="1"/>
  <c r="AG498" i="1"/>
  <c r="AG5" i="1"/>
  <c r="AG8" i="1"/>
  <c r="AG43" i="1"/>
  <c r="AG71" i="1"/>
  <c r="AG83" i="1"/>
  <c r="AG98" i="1"/>
  <c r="AG142" i="1"/>
  <c r="AG160" i="1"/>
  <c r="AG181" i="1"/>
  <c r="AG204" i="1"/>
  <c r="AG228" i="1"/>
  <c r="AG316" i="1"/>
  <c r="AG337" i="1"/>
  <c r="AG367" i="1"/>
  <c r="AG415" i="1"/>
  <c r="AG442" i="1"/>
  <c r="AG462" i="1"/>
  <c r="AG488" i="1"/>
  <c r="AG13" i="1"/>
  <c r="AG27" i="1"/>
  <c r="AG50" i="1"/>
  <c r="AG74" i="1"/>
  <c r="AG85" i="1"/>
  <c r="AG95" i="1"/>
  <c r="AG123" i="1"/>
  <c r="AG144" i="1"/>
  <c r="AG164" i="1"/>
  <c r="AG184" i="1"/>
  <c r="AG205" i="1"/>
  <c r="AG232" i="1"/>
  <c r="AG280" i="1"/>
  <c r="AG305" i="1"/>
  <c r="AG325" i="1"/>
  <c r="AG331" i="1"/>
  <c r="AG360" i="1"/>
  <c r="AG380" i="1"/>
  <c r="AG390" i="1"/>
  <c r="AG419" i="1"/>
  <c r="AG447" i="1"/>
  <c r="AG463" i="1"/>
  <c r="AG490" i="1"/>
  <c r="AG4" i="1"/>
  <c r="AG6" i="1"/>
  <c r="AG23" i="1"/>
  <c r="AG42" i="1"/>
  <c r="AG91" i="1"/>
  <c r="AG110" i="1"/>
  <c r="AG118" i="1"/>
  <c r="AG119" i="1"/>
  <c r="AG141" i="1"/>
  <c r="AG150" i="1"/>
  <c r="AG149" i="1"/>
  <c r="AG158" i="1"/>
  <c r="AG201" i="1"/>
  <c r="AG214" i="1"/>
  <c r="AG226" i="1"/>
  <c r="AG242" i="1"/>
  <c r="AG248" i="1"/>
  <c r="AG259" i="1"/>
  <c r="AG258" i="1"/>
  <c r="AG285" i="1"/>
  <c r="AG301" i="1"/>
  <c r="AG335" i="1"/>
  <c r="AG336" i="1"/>
  <c r="AG346" i="1"/>
  <c r="AG347" i="1"/>
  <c r="AG396" i="1"/>
  <c r="AG403" i="1"/>
  <c r="AG402" i="1"/>
  <c r="AG414" i="1"/>
  <c r="AG365" i="1"/>
  <c r="AG421" i="1"/>
  <c r="AG439" i="1"/>
  <c r="AG453" i="1"/>
  <c r="AG452" i="1"/>
  <c r="AG438" i="1"/>
  <c r="AG500" i="1"/>
  <c r="AG10" i="1"/>
  <c r="AG28" i="1"/>
  <c r="AG51" i="1"/>
  <c r="AG75" i="1"/>
  <c r="AG86" i="1"/>
  <c r="AG92" i="1"/>
  <c r="AG115" i="1"/>
  <c r="AG139" i="1"/>
  <c r="AG124" i="1"/>
  <c r="AG185" i="1"/>
  <c r="AG206" i="1"/>
  <c r="AG233" i="1"/>
  <c r="AG244" i="1"/>
  <c r="AG291" i="1"/>
  <c r="AG319" i="1"/>
  <c r="AG340" i="1"/>
  <c r="AG361" i="1"/>
  <c r="AG381" i="1"/>
  <c r="AG398" i="1"/>
  <c r="AG416" i="1"/>
  <c r="AG443" i="1"/>
  <c r="AG464" i="1"/>
  <c r="AG491" i="1"/>
  <c r="AG505" i="1"/>
  <c r="AH302" i="1"/>
  <c r="AH404" i="1"/>
  <c r="AH366" i="1"/>
  <c r="AH485" i="1"/>
  <c r="AH80" i="1"/>
  <c r="AH89" i="1"/>
  <c r="AH130" i="1"/>
  <c r="AH148" i="1"/>
  <c r="AH155" i="1"/>
  <c r="AH172" i="1"/>
  <c r="AH197" i="1"/>
  <c r="AH221" i="1"/>
  <c r="AH246" i="1"/>
  <c r="AH281" i="1"/>
  <c r="AH312" i="1"/>
  <c r="AH333" i="1"/>
  <c r="AH355" i="1"/>
  <c r="AH376" i="1"/>
  <c r="AH392" i="1"/>
  <c r="AH413" i="1"/>
  <c r="AH431" i="1"/>
  <c r="AH459" i="1"/>
  <c r="AH476" i="1"/>
  <c r="AH498" i="1"/>
  <c r="AH5" i="1"/>
  <c r="AH8" i="1"/>
  <c r="AH43" i="1"/>
  <c r="AH71" i="1"/>
  <c r="AH83" i="1"/>
  <c r="AH98" i="1"/>
  <c r="AH142" i="1"/>
  <c r="AH160" i="1"/>
  <c r="AH181" i="1"/>
  <c r="AH204" i="1"/>
  <c r="AH228" i="1"/>
  <c r="AH316" i="1"/>
  <c r="AH337" i="1"/>
  <c r="AH367" i="1"/>
  <c r="AH415" i="1"/>
  <c r="AH442" i="1"/>
  <c r="AH462" i="1"/>
  <c r="AH488" i="1"/>
  <c r="AH13" i="1"/>
  <c r="AH27" i="1"/>
  <c r="AH50" i="1"/>
  <c r="AH74" i="1"/>
  <c r="AH85" i="1"/>
  <c r="AH95" i="1"/>
  <c r="AH123" i="1"/>
  <c r="AH144" i="1"/>
  <c r="AH164" i="1"/>
  <c r="AH184" i="1"/>
  <c r="AH205" i="1"/>
  <c r="AH232" i="1"/>
  <c r="AH280" i="1"/>
  <c r="AH305" i="1"/>
  <c r="AH325" i="1"/>
  <c r="AH331" i="1"/>
  <c r="AH360" i="1"/>
  <c r="AH380" i="1"/>
  <c r="AH390" i="1"/>
  <c r="AH419" i="1"/>
  <c r="AH447" i="1"/>
  <c r="AH463" i="1"/>
  <c r="AH490" i="1"/>
  <c r="AH4" i="1"/>
  <c r="AH6" i="1"/>
  <c r="AH23" i="1"/>
  <c r="AH42" i="1"/>
  <c r="AH91" i="1"/>
  <c r="AH110" i="1"/>
  <c r="AH118" i="1"/>
  <c r="AH119" i="1"/>
  <c r="AH141" i="1"/>
  <c r="AH150" i="1"/>
  <c r="AH149" i="1"/>
  <c r="AH158" i="1"/>
  <c r="AH201" i="1"/>
  <c r="AH214" i="1"/>
  <c r="AH226" i="1"/>
  <c r="AH242" i="1"/>
  <c r="AH248" i="1"/>
  <c r="AH259" i="1"/>
  <c r="AH258" i="1"/>
  <c r="AH285" i="1"/>
  <c r="AH301" i="1"/>
  <c r="AH335" i="1"/>
  <c r="AH336" i="1"/>
  <c r="AH346" i="1"/>
  <c r="AH347" i="1"/>
  <c r="AH396" i="1"/>
  <c r="AH403" i="1"/>
  <c r="AH402" i="1"/>
  <c r="AH414" i="1"/>
  <c r="AH365" i="1"/>
  <c r="AH421" i="1"/>
  <c r="AH439" i="1"/>
  <c r="AH453" i="1"/>
  <c r="AH452" i="1"/>
  <c r="AH438" i="1"/>
  <c r="AH500" i="1"/>
  <c r="AH10" i="1"/>
  <c r="AH28" i="1"/>
  <c r="AH51" i="1"/>
  <c r="AH75" i="1"/>
  <c r="AH86" i="1"/>
  <c r="AH92" i="1"/>
  <c r="AH115" i="1"/>
  <c r="AH139" i="1"/>
  <c r="AH124" i="1"/>
  <c r="AH185" i="1"/>
  <c r="AH206" i="1"/>
  <c r="AH233" i="1"/>
  <c r="AH244" i="1"/>
  <c r="AH291" i="1"/>
  <c r="AH319" i="1"/>
  <c r="AH340" i="1"/>
  <c r="AH361" i="1"/>
  <c r="AH381" i="1"/>
  <c r="AH398" i="1"/>
  <c r="AH416" i="1"/>
  <c r="AH443" i="1"/>
  <c r="AH464" i="1"/>
  <c r="AH491" i="1"/>
  <c r="AH505" i="1"/>
  <c r="AI302" i="1"/>
  <c r="AI404" i="1"/>
  <c r="AI366" i="1"/>
  <c r="AI485" i="1"/>
  <c r="AI80" i="1"/>
  <c r="AI89" i="1"/>
  <c r="AI130" i="1"/>
  <c r="AI148" i="1"/>
  <c r="AI155" i="1"/>
  <c r="AI172" i="1"/>
  <c r="AI197" i="1"/>
  <c r="AI221" i="1"/>
  <c r="AI246" i="1"/>
  <c r="AI281" i="1"/>
  <c r="AI312" i="1"/>
  <c r="AI333" i="1"/>
  <c r="AI355" i="1"/>
  <c r="AI376" i="1"/>
  <c r="AI392" i="1"/>
  <c r="AI413" i="1"/>
  <c r="AI431" i="1"/>
  <c r="AI459" i="1"/>
  <c r="AI476" i="1"/>
  <c r="AI498" i="1"/>
  <c r="AI5" i="1"/>
  <c r="AI8" i="1"/>
  <c r="AI43" i="1"/>
  <c r="AI71" i="1"/>
  <c r="AI83" i="1"/>
  <c r="AI98" i="1"/>
  <c r="AI142" i="1"/>
  <c r="AI160" i="1"/>
  <c r="AI181" i="1"/>
  <c r="AI204" i="1"/>
  <c r="AI228" i="1"/>
  <c r="AI316" i="1"/>
  <c r="AI337" i="1"/>
  <c r="AI367" i="1"/>
  <c r="AI415" i="1"/>
  <c r="AI442" i="1"/>
  <c r="AI462" i="1"/>
  <c r="AI488" i="1"/>
  <c r="AI13" i="1"/>
  <c r="AI27" i="1"/>
  <c r="AI50" i="1"/>
  <c r="AI74" i="1"/>
  <c r="AI85" i="1"/>
  <c r="AI95" i="1"/>
  <c r="AI123" i="1"/>
  <c r="AI144" i="1"/>
  <c r="AI164" i="1"/>
  <c r="AI184" i="1"/>
  <c r="AI205" i="1"/>
  <c r="AI232" i="1"/>
  <c r="AI280" i="1"/>
  <c r="AI305" i="1"/>
  <c r="AI325" i="1"/>
  <c r="AI331" i="1"/>
  <c r="AI360" i="1"/>
  <c r="AI380" i="1"/>
  <c r="AI390" i="1"/>
  <c r="AI419" i="1"/>
  <c r="AI447" i="1"/>
  <c r="AI463" i="1"/>
  <c r="AI490" i="1"/>
  <c r="AI4" i="1"/>
  <c r="AI6" i="1"/>
  <c r="AI23" i="1"/>
  <c r="AI42" i="1"/>
  <c r="AI91" i="1"/>
  <c r="AI110" i="1"/>
  <c r="AI118" i="1"/>
  <c r="AI119" i="1"/>
  <c r="AI141" i="1"/>
  <c r="AI150" i="1"/>
  <c r="AI149" i="1"/>
  <c r="AI158" i="1"/>
  <c r="AI201" i="1"/>
  <c r="AI214" i="1"/>
  <c r="AI226" i="1"/>
  <c r="AI242" i="1"/>
  <c r="AI248" i="1"/>
  <c r="AI259" i="1"/>
  <c r="AI258" i="1"/>
  <c r="AI285" i="1"/>
  <c r="AI301" i="1"/>
  <c r="AI335" i="1"/>
  <c r="AI336" i="1"/>
  <c r="AI346" i="1"/>
  <c r="AI347" i="1"/>
  <c r="AI396" i="1"/>
  <c r="AI403" i="1"/>
  <c r="AI402" i="1"/>
  <c r="AI414" i="1"/>
  <c r="AI365" i="1"/>
  <c r="AI421" i="1"/>
  <c r="AI439" i="1"/>
  <c r="AI453" i="1"/>
  <c r="AI452" i="1"/>
  <c r="AI438" i="1"/>
  <c r="AI500" i="1"/>
  <c r="AI10" i="1"/>
  <c r="AI28" i="1"/>
  <c r="AI51" i="1"/>
  <c r="AI75" i="1"/>
  <c r="AI86" i="1"/>
  <c r="AI92" i="1"/>
  <c r="AI115" i="1"/>
  <c r="AI139" i="1"/>
  <c r="AI124" i="1"/>
  <c r="AI185" i="1"/>
  <c r="AI206" i="1"/>
  <c r="AI233" i="1"/>
  <c r="AI244" i="1"/>
  <c r="AI291" i="1"/>
  <c r="AI319" i="1"/>
  <c r="AI340" i="1"/>
  <c r="AI361" i="1"/>
  <c r="AI381" i="1"/>
  <c r="AI398" i="1"/>
  <c r="AI416" i="1"/>
  <c r="AI443" i="1"/>
  <c r="AI464" i="1"/>
  <c r="AI491" i="1"/>
  <c r="AI505" i="1"/>
  <c r="AF260" i="1"/>
  <c r="AG260" i="1"/>
  <c r="AH260" i="1"/>
  <c r="AI260" i="1"/>
  <c r="P34" i="17" l="1"/>
  <c r="Q34" i="17" s="1"/>
  <c r="X34" i="17"/>
  <c r="S34" i="17"/>
  <c r="T34" i="17"/>
  <c r="AJ118" i="1"/>
  <c r="AJ115" i="1"/>
  <c r="AJ403" i="1"/>
  <c r="AJ123" i="1"/>
  <c r="AJ206" i="1"/>
  <c r="AJ421" i="1"/>
  <c r="AJ490" i="1"/>
  <c r="AJ205" i="1"/>
  <c r="AJ367" i="1"/>
  <c r="AJ148" i="1"/>
  <c r="AJ491" i="1"/>
  <c r="AJ158" i="1"/>
  <c r="AJ228" i="1"/>
  <c r="AJ413" i="1"/>
  <c r="AJ28" i="1"/>
  <c r="AJ336" i="1"/>
  <c r="AJ485" i="1"/>
  <c r="AJ242" i="1"/>
  <c r="AJ498" i="1"/>
  <c r="AJ438" i="1"/>
  <c r="AJ319" i="1"/>
  <c r="AJ285" i="1"/>
  <c r="AJ42" i="1"/>
  <c r="AJ305" i="1"/>
  <c r="AJ462" i="1"/>
  <c r="AJ71" i="1"/>
  <c r="AJ221" i="1"/>
  <c r="AJ381" i="1"/>
  <c r="AJ312" i="1"/>
  <c r="AJ75" i="1"/>
  <c r="AJ380" i="1"/>
  <c r="AJ160" i="1"/>
  <c r="AJ302" i="1"/>
  <c r="AJ27" i="1"/>
  <c r="AJ416" i="1"/>
  <c r="AJ347" i="1"/>
  <c r="AJ355" i="1"/>
  <c r="AJ260" i="1"/>
  <c r="AJ361" i="1"/>
  <c r="AJ10" i="1"/>
  <c r="AJ335" i="1"/>
  <c r="AJ110" i="1"/>
  <c r="AJ331" i="1"/>
  <c r="AJ13" i="1"/>
  <c r="AJ98" i="1"/>
  <c r="AJ281" i="1"/>
  <c r="AJ74" i="1"/>
  <c r="AJ141" i="1"/>
  <c r="AJ185" i="1"/>
  <c r="AJ365" i="1"/>
  <c r="AJ226" i="1"/>
  <c r="AJ184" i="1"/>
  <c r="AJ337" i="1"/>
  <c r="AJ476" i="1"/>
  <c r="AJ130" i="1"/>
  <c r="AJ398" i="1"/>
  <c r="AJ51" i="1"/>
  <c r="AJ346" i="1"/>
  <c r="AJ119" i="1"/>
  <c r="AJ360" i="1"/>
  <c r="AJ50" i="1"/>
  <c r="AJ142" i="1"/>
  <c r="AJ333" i="1"/>
  <c r="AJ197" i="1"/>
  <c r="AJ244" i="1"/>
  <c r="AJ453" i="1"/>
  <c r="AJ259" i="1"/>
  <c r="AJ6" i="1"/>
  <c r="AJ415" i="1"/>
  <c r="AJ8" i="1"/>
  <c r="AJ172" i="1"/>
  <c r="AJ23" i="1"/>
  <c r="AJ233" i="1"/>
  <c r="AJ439" i="1"/>
  <c r="AJ248" i="1"/>
  <c r="AJ4" i="1"/>
  <c r="AJ232" i="1"/>
  <c r="AJ5" i="1"/>
  <c r="AJ155" i="1"/>
  <c r="AJ452" i="1"/>
  <c r="AJ442" i="1"/>
  <c r="AJ340" i="1"/>
  <c r="AJ500" i="1"/>
  <c r="AJ301" i="1"/>
  <c r="AJ91" i="1"/>
  <c r="AJ325" i="1"/>
  <c r="AJ488" i="1"/>
  <c r="AJ83" i="1"/>
  <c r="AJ246" i="1"/>
  <c r="AJ124" i="1"/>
  <c r="AJ414" i="1"/>
  <c r="AJ214" i="1"/>
  <c r="AJ463" i="1"/>
  <c r="AJ164" i="1"/>
  <c r="AJ316" i="1"/>
  <c r="AJ459" i="1"/>
  <c r="AJ89" i="1"/>
  <c r="AJ43" i="1"/>
  <c r="AJ505" i="1"/>
  <c r="AJ139" i="1"/>
  <c r="AJ402" i="1"/>
  <c r="AJ201" i="1"/>
  <c r="AJ447" i="1"/>
  <c r="AJ144" i="1"/>
  <c r="AJ431" i="1"/>
  <c r="AJ80" i="1"/>
  <c r="AJ258" i="1"/>
  <c r="AJ291" i="1"/>
  <c r="AJ464" i="1"/>
  <c r="AJ92" i="1"/>
  <c r="AJ396" i="1"/>
  <c r="AJ149" i="1"/>
  <c r="AJ419" i="1"/>
  <c r="AJ95" i="1"/>
  <c r="AJ204" i="1"/>
  <c r="AJ392" i="1"/>
  <c r="AJ366" i="1"/>
  <c r="AJ443" i="1"/>
  <c r="AJ86" i="1"/>
  <c r="AJ150" i="1"/>
  <c r="AJ390" i="1"/>
  <c r="AJ85" i="1"/>
  <c r="AJ181" i="1"/>
  <c r="AJ376" i="1"/>
  <c r="AJ404" i="1"/>
  <c r="AJ280" i="1"/>
  <c r="W34" i="17" l="1"/>
  <c r="Y34" i="17"/>
  <c r="V34" i="17"/>
  <c r="AF68" i="1"/>
  <c r="AF90" i="1"/>
  <c r="AF117" i="1"/>
  <c r="AF179" i="1"/>
  <c r="AF247" i="1"/>
  <c r="AF314" i="1"/>
  <c r="AF345" i="1"/>
  <c r="AF384" i="1"/>
  <c r="AF461" i="1"/>
  <c r="AF9" i="1"/>
  <c r="AF26" i="1"/>
  <c r="AF48" i="1"/>
  <c r="AF72" i="1"/>
  <c r="AF84" i="1"/>
  <c r="AF112" i="1"/>
  <c r="AF143" i="1"/>
  <c r="AF161" i="1"/>
  <c r="AF503" i="1"/>
  <c r="AF207" i="1"/>
  <c r="AF236" i="1"/>
  <c r="AF279" i="1"/>
  <c r="AF289" i="1"/>
  <c r="AF317" i="1"/>
  <c r="AF338" i="1"/>
  <c r="AF374" i="1"/>
  <c r="AF379" i="1"/>
  <c r="AF397" i="1"/>
  <c r="AF432" i="1"/>
  <c r="AF478" i="1"/>
  <c r="AF44" i="1"/>
  <c r="AF77" i="1"/>
  <c r="AF93" i="1"/>
  <c r="AF127" i="1"/>
  <c r="AF145" i="1"/>
  <c r="AF151" i="1"/>
  <c r="AF187" i="1"/>
  <c r="AF194" i="1"/>
  <c r="AF216" i="1"/>
  <c r="AF250" i="1"/>
  <c r="AF307" i="1"/>
  <c r="AF353" i="1"/>
  <c r="AF386" i="1"/>
  <c r="AF444" i="1"/>
  <c r="AF466" i="1"/>
  <c r="AF492" i="1"/>
  <c r="AF511" i="1"/>
  <c r="AF30" i="1"/>
  <c r="AF189" i="1"/>
  <c r="AF293" i="1"/>
  <c r="AF457" i="1"/>
  <c r="AF12" i="1"/>
  <c r="AF31" i="1"/>
  <c r="AF53" i="1"/>
  <c r="AF79" i="1"/>
  <c r="AF88" i="1"/>
  <c r="AF114" i="1"/>
  <c r="AF147" i="1"/>
  <c r="AF176" i="1"/>
  <c r="AF190" i="1"/>
  <c r="AF198" i="1"/>
  <c r="AF237" i="1"/>
  <c r="AF294" i="1"/>
  <c r="AF321" i="1"/>
  <c r="AF341" i="1"/>
  <c r="AF399" i="1"/>
  <c r="AF427" i="1"/>
  <c r="AF495" i="1"/>
  <c r="AF54" i="1"/>
  <c r="AF129" i="1"/>
  <c r="AF238" i="1"/>
  <c r="AF342" i="1"/>
  <c r="AF496" i="1"/>
  <c r="AG68" i="1"/>
  <c r="AG90" i="1"/>
  <c r="AG117" i="1"/>
  <c r="AG179" i="1"/>
  <c r="AG247" i="1"/>
  <c r="AG314" i="1"/>
  <c r="AG345" i="1"/>
  <c r="AG384" i="1"/>
  <c r="AG461" i="1"/>
  <c r="AG9" i="1"/>
  <c r="AG26" i="1"/>
  <c r="AG48" i="1"/>
  <c r="AG72" i="1"/>
  <c r="AG84" i="1"/>
  <c r="AG112" i="1"/>
  <c r="AG143" i="1"/>
  <c r="AG161" i="1"/>
  <c r="AG503" i="1"/>
  <c r="AG207" i="1"/>
  <c r="AG236" i="1"/>
  <c r="AG279" i="1"/>
  <c r="AG289" i="1"/>
  <c r="AG317" i="1"/>
  <c r="AG338" i="1"/>
  <c r="AG374" i="1"/>
  <c r="AG379" i="1"/>
  <c r="AG397" i="1"/>
  <c r="AG432" i="1"/>
  <c r="AG478" i="1"/>
  <c r="AG44" i="1"/>
  <c r="AG77" i="1"/>
  <c r="AG93" i="1"/>
  <c r="AG127" i="1"/>
  <c r="AG145" i="1"/>
  <c r="AG151" i="1"/>
  <c r="AG187" i="1"/>
  <c r="AG194" i="1"/>
  <c r="AG216" i="1"/>
  <c r="AG250" i="1"/>
  <c r="AG307" i="1"/>
  <c r="AG353" i="1"/>
  <c r="AG386" i="1"/>
  <c r="AG444" i="1"/>
  <c r="AG466" i="1"/>
  <c r="AG492" i="1"/>
  <c r="AG511" i="1"/>
  <c r="AG30" i="1"/>
  <c r="AG189" i="1"/>
  <c r="AG293" i="1"/>
  <c r="AG457" i="1"/>
  <c r="AG12" i="1"/>
  <c r="AG31" i="1"/>
  <c r="AG53" i="1"/>
  <c r="AG79" i="1"/>
  <c r="AG88" i="1"/>
  <c r="AG114" i="1"/>
  <c r="AG147" i="1"/>
  <c r="AG176" i="1"/>
  <c r="AG190" i="1"/>
  <c r="AG198" i="1"/>
  <c r="AG237" i="1"/>
  <c r="AG294" i="1"/>
  <c r="AG321" i="1"/>
  <c r="AG341" i="1"/>
  <c r="AG399" i="1"/>
  <c r="AG427" i="1"/>
  <c r="AG495" i="1"/>
  <c r="AG54" i="1"/>
  <c r="AG129" i="1"/>
  <c r="AG238" i="1"/>
  <c r="AG342" i="1"/>
  <c r="AG496" i="1"/>
  <c r="AH68" i="1"/>
  <c r="AH90" i="1"/>
  <c r="AH117" i="1"/>
  <c r="AH179" i="1"/>
  <c r="AH247" i="1"/>
  <c r="AH314" i="1"/>
  <c r="AH345" i="1"/>
  <c r="AH384" i="1"/>
  <c r="AH461" i="1"/>
  <c r="AH9" i="1"/>
  <c r="AH26" i="1"/>
  <c r="AH48" i="1"/>
  <c r="AH72" i="1"/>
  <c r="AH84" i="1"/>
  <c r="AH112" i="1"/>
  <c r="AH143" i="1"/>
  <c r="AH161" i="1"/>
  <c r="AH503" i="1"/>
  <c r="AH207" i="1"/>
  <c r="AH236" i="1"/>
  <c r="AH279" i="1"/>
  <c r="AH289" i="1"/>
  <c r="AH317" i="1"/>
  <c r="AH338" i="1"/>
  <c r="AH374" i="1"/>
  <c r="AH379" i="1"/>
  <c r="AH397" i="1"/>
  <c r="AH432" i="1"/>
  <c r="AH478" i="1"/>
  <c r="AH44" i="1"/>
  <c r="AH77" i="1"/>
  <c r="AH93" i="1"/>
  <c r="AH127" i="1"/>
  <c r="AH145" i="1"/>
  <c r="AH151" i="1"/>
  <c r="AH187" i="1"/>
  <c r="AH194" i="1"/>
  <c r="AH216" i="1"/>
  <c r="AH250" i="1"/>
  <c r="AH307" i="1"/>
  <c r="AH353" i="1"/>
  <c r="AH386" i="1"/>
  <c r="AH444" i="1"/>
  <c r="AH466" i="1"/>
  <c r="AH492" i="1"/>
  <c r="AH511" i="1"/>
  <c r="AH30" i="1"/>
  <c r="AH189" i="1"/>
  <c r="AH293" i="1"/>
  <c r="AH457" i="1"/>
  <c r="AH12" i="1"/>
  <c r="AH31" i="1"/>
  <c r="AH53" i="1"/>
  <c r="AH79" i="1"/>
  <c r="AH88" i="1"/>
  <c r="AH114" i="1"/>
  <c r="AH147" i="1"/>
  <c r="AH176" i="1"/>
  <c r="AH190" i="1"/>
  <c r="AH198" i="1"/>
  <c r="AH237" i="1"/>
  <c r="AH294" i="1"/>
  <c r="AH321" i="1"/>
  <c r="AH341" i="1"/>
  <c r="AH399" i="1"/>
  <c r="AH427" i="1"/>
  <c r="AH495" i="1"/>
  <c r="AH54" i="1"/>
  <c r="AH129" i="1"/>
  <c r="AH238" i="1"/>
  <c r="AH342" i="1"/>
  <c r="AH496" i="1"/>
  <c r="AI68" i="1"/>
  <c r="AI90" i="1"/>
  <c r="AI117" i="1"/>
  <c r="AI179" i="1"/>
  <c r="AI247" i="1"/>
  <c r="AI314" i="1"/>
  <c r="AI345" i="1"/>
  <c r="AI384" i="1"/>
  <c r="AI461" i="1"/>
  <c r="AI9" i="1"/>
  <c r="AI26" i="1"/>
  <c r="AI48" i="1"/>
  <c r="AI72" i="1"/>
  <c r="AI84" i="1"/>
  <c r="AI112" i="1"/>
  <c r="AI143" i="1"/>
  <c r="AI161" i="1"/>
  <c r="AI503" i="1"/>
  <c r="AI207" i="1"/>
  <c r="AI236" i="1"/>
  <c r="AI279" i="1"/>
  <c r="AI289" i="1"/>
  <c r="AI317" i="1"/>
  <c r="AI338" i="1"/>
  <c r="AI374" i="1"/>
  <c r="AI379" i="1"/>
  <c r="AI397" i="1"/>
  <c r="AI432" i="1"/>
  <c r="AI478" i="1"/>
  <c r="AI44" i="1"/>
  <c r="AI77" i="1"/>
  <c r="AI93" i="1"/>
  <c r="AI127" i="1"/>
  <c r="AI145" i="1"/>
  <c r="AI151" i="1"/>
  <c r="AI187" i="1"/>
  <c r="AI194" i="1"/>
  <c r="AI216" i="1"/>
  <c r="AI250" i="1"/>
  <c r="AI307" i="1"/>
  <c r="AI353" i="1"/>
  <c r="AI386" i="1"/>
  <c r="AI444" i="1"/>
  <c r="AI466" i="1"/>
  <c r="AI492" i="1"/>
  <c r="AI511" i="1"/>
  <c r="AI30" i="1"/>
  <c r="AI189" i="1"/>
  <c r="AI293" i="1"/>
  <c r="AI457" i="1"/>
  <c r="AI12" i="1"/>
  <c r="AI31" i="1"/>
  <c r="AI53" i="1"/>
  <c r="AI79" i="1"/>
  <c r="AI88" i="1"/>
  <c r="AI114" i="1"/>
  <c r="AI147" i="1"/>
  <c r="AI176" i="1"/>
  <c r="AI190" i="1"/>
  <c r="AI198" i="1"/>
  <c r="AI237" i="1"/>
  <c r="AI294" i="1"/>
  <c r="AI321" i="1"/>
  <c r="AI341" i="1"/>
  <c r="AI399" i="1"/>
  <c r="AI427" i="1"/>
  <c r="AI495" i="1"/>
  <c r="AI54" i="1"/>
  <c r="AI129" i="1"/>
  <c r="AI238" i="1"/>
  <c r="AI342" i="1"/>
  <c r="AI496" i="1"/>
  <c r="AF41" i="1"/>
  <c r="AG41" i="1"/>
  <c r="AH41" i="1"/>
  <c r="AI41" i="1"/>
  <c r="AJ190" i="1" l="1"/>
  <c r="AJ444" i="1"/>
  <c r="AJ397" i="1"/>
  <c r="AJ26" i="1"/>
  <c r="AJ307" i="1"/>
  <c r="AJ187" i="1"/>
  <c r="AJ496" i="1"/>
  <c r="AJ147" i="1"/>
  <c r="AJ353" i="1"/>
  <c r="AJ374" i="1"/>
  <c r="AJ461" i="1"/>
  <c r="AJ495" i="1"/>
  <c r="AJ236" i="1"/>
  <c r="AJ48" i="1"/>
  <c r="AJ342" i="1"/>
  <c r="AJ114" i="1"/>
  <c r="AJ338" i="1"/>
  <c r="AJ384" i="1"/>
  <c r="AJ198" i="1"/>
  <c r="AJ466" i="1"/>
  <c r="AJ432" i="1"/>
  <c r="AJ341" i="1"/>
  <c r="AJ189" i="1"/>
  <c r="AJ93" i="1"/>
  <c r="AJ143" i="1"/>
  <c r="AJ427" i="1"/>
  <c r="AJ12" i="1"/>
  <c r="AJ151" i="1"/>
  <c r="AJ207" i="1"/>
  <c r="AJ117" i="1"/>
  <c r="AJ31" i="1"/>
  <c r="AJ179" i="1"/>
  <c r="AJ54" i="1"/>
  <c r="AJ53" i="1"/>
  <c r="AJ194" i="1"/>
  <c r="AJ279" i="1"/>
  <c r="AJ247" i="1"/>
  <c r="AJ399" i="1"/>
  <c r="AJ457" i="1"/>
  <c r="AJ145" i="1"/>
  <c r="AJ503" i="1"/>
  <c r="AJ90" i="1"/>
  <c r="AJ237" i="1"/>
  <c r="AJ492" i="1"/>
  <c r="AJ478" i="1"/>
  <c r="AJ72" i="1"/>
  <c r="AJ293" i="1"/>
  <c r="AJ127" i="1"/>
  <c r="AJ161" i="1"/>
  <c r="AJ68" i="1"/>
  <c r="AJ294" i="1"/>
  <c r="AJ511" i="1"/>
  <c r="AJ44" i="1"/>
  <c r="AJ84" i="1"/>
  <c r="AJ321" i="1"/>
  <c r="AJ30" i="1"/>
  <c r="AJ77" i="1"/>
  <c r="AJ112" i="1"/>
  <c r="AJ41" i="1"/>
  <c r="AJ129" i="1"/>
  <c r="AJ79" i="1"/>
  <c r="AJ216" i="1"/>
  <c r="AJ289" i="1"/>
  <c r="AJ314" i="1"/>
  <c r="AJ176" i="1"/>
  <c r="AJ386" i="1"/>
  <c r="AJ379" i="1"/>
  <c r="AJ9" i="1"/>
  <c r="AJ238" i="1"/>
  <c r="AJ88" i="1"/>
  <c r="AJ250" i="1"/>
  <c r="AJ317" i="1"/>
  <c r="AJ345" i="1"/>
  <c r="AF49" i="1" l="1"/>
  <c r="AG49" i="1"/>
  <c r="AH49" i="1"/>
  <c r="AI49" i="1"/>
  <c r="AF73" i="1"/>
  <c r="AG73" i="1"/>
  <c r="AH73" i="1"/>
  <c r="AI73" i="1"/>
  <c r="AF11" i="1"/>
  <c r="AF45" i="1"/>
  <c r="AF78" i="1"/>
  <c r="AF87" i="1"/>
  <c r="AF113" i="1"/>
  <c r="AF128" i="1"/>
  <c r="AF146" i="1"/>
  <c r="AF152" i="1"/>
  <c r="AF188" i="1"/>
  <c r="AF196" i="1"/>
  <c r="AF251" i="1"/>
  <c r="AF426" i="1"/>
  <c r="AF445" i="1"/>
  <c r="AF308" i="1"/>
  <c r="AF354" i="1"/>
  <c r="AF371" i="1"/>
  <c r="AF408" i="1"/>
  <c r="AF418" i="1"/>
  <c r="AF292" i="1"/>
  <c r="AF309" i="1"/>
  <c r="AF456" i="1"/>
  <c r="AF467" i="1"/>
  <c r="AF493" i="1"/>
  <c r="AF494" i="1"/>
  <c r="AF507" i="1"/>
  <c r="AG11" i="1"/>
  <c r="AG45" i="1"/>
  <c r="AG78" i="1"/>
  <c r="AG87" i="1"/>
  <c r="AG113" i="1"/>
  <c r="AG128" i="1"/>
  <c r="AG146" i="1"/>
  <c r="AG152" i="1"/>
  <c r="AG188" i="1"/>
  <c r="AG196" i="1"/>
  <c r="AG251" i="1"/>
  <c r="AG426" i="1"/>
  <c r="AG445" i="1"/>
  <c r="AG308" i="1"/>
  <c r="AG354" i="1"/>
  <c r="AG371" i="1"/>
  <c r="AG408" i="1"/>
  <c r="AG418" i="1"/>
  <c r="AG292" i="1"/>
  <c r="AG309" i="1"/>
  <c r="AG456" i="1"/>
  <c r="AG467" i="1"/>
  <c r="AG493" i="1"/>
  <c r="AG494" i="1"/>
  <c r="AG507" i="1"/>
  <c r="AH11" i="1"/>
  <c r="AH45" i="1"/>
  <c r="AH78" i="1"/>
  <c r="AH87" i="1"/>
  <c r="AH113" i="1"/>
  <c r="AH128" i="1"/>
  <c r="AH146" i="1"/>
  <c r="AH152" i="1"/>
  <c r="AH188" i="1"/>
  <c r="AH196" i="1"/>
  <c r="AH251" i="1"/>
  <c r="AH426" i="1"/>
  <c r="AH445" i="1"/>
  <c r="AH308" i="1"/>
  <c r="AH354" i="1"/>
  <c r="AH371" i="1"/>
  <c r="AH408" i="1"/>
  <c r="AH418" i="1"/>
  <c r="AH292" i="1"/>
  <c r="AH309" i="1"/>
  <c r="AH456" i="1"/>
  <c r="AH467" i="1"/>
  <c r="AH493" i="1"/>
  <c r="AH494" i="1"/>
  <c r="AH507" i="1"/>
  <c r="AI11" i="1"/>
  <c r="AI45" i="1"/>
  <c r="AI78" i="1"/>
  <c r="AI87" i="1"/>
  <c r="AI113" i="1"/>
  <c r="AI128" i="1"/>
  <c r="AI146" i="1"/>
  <c r="AI152" i="1"/>
  <c r="AI188" i="1"/>
  <c r="AI196" i="1"/>
  <c r="AI251" i="1"/>
  <c r="AI426" i="1"/>
  <c r="AI445" i="1"/>
  <c r="AI308" i="1"/>
  <c r="AI354" i="1"/>
  <c r="AI371" i="1"/>
  <c r="AI408" i="1"/>
  <c r="AI418" i="1"/>
  <c r="AI292" i="1"/>
  <c r="AI309" i="1"/>
  <c r="AI456" i="1"/>
  <c r="AI467" i="1"/>
  <c r="AI493" i="1"/>
  <c r="AI494" i="1"/>
  <c r="AI507" i="1"/>
  <c r="B512" i="1"/>
  <c r="AF138" i="1"/>
  <c r="AF231" i="1"/>
  <c r="AF318" i="1"/>
  <c r="AF339" i="1"/>
  <c r="AF368" i="1"/>
  <c r="AF455" i="1"/>
  <c r="AF508" i="1"/>
  <c r="AF76" i="1"/>
  <c r="AF125" i="1"/>
  <c r="AF186" i="1"/>
  <c r="AF234" i="1"/>
  <c r="AF332" i="1"/>
  <c r="AF369" i="1"/>
  <c r="AF417" i="1"/>
  <c r="AF465" i="1"/>
  <c r="AF506" i="1"/>
  <c r="AG138" i="1"/>
  <c r="AG231" i="1"/>
  <c r="AG318" i="1"/>
  <c r="AG339" i="1"/>
  <c r="AG368" i="1"/>
  <c r="AG455" i="1"/>
  <c r="AG508" i="1"/>
  <c r="AG76" i="1"/>
  <c r="AG125" i="1"/>
  <c r="AG186" i="1"/>
  <c r="AG234" i="1"/>
  <c r="AG332" i="1"/>
  <c r="AG369" i="1"/>
  <c r="AG417" i="1"/>
  <c r="AG465" i="1"/>
  <c r="AG506" i="1"/>
  <c r="AH138" i="1"/>
  <c r="AH231" i="1"/>
  <c r="AH318" i="1"/>
  <c r="AH339" i="1"/>
  <c r="AH368" i="1"/>
  <c r="AH455" i="1"/>
  <c r="AH508" i="1"/>
  <c r="AH76" i="1"/>
  <c r="AH125" i="1"/>
  <c r="AH186" i="1"/>
  <c r="AH234" i="1"/>
  <c r="AH332" i="1"/>
  <c r="AH369" i="1"/>
  <c r="AH417" i="1"/>
  <c r="AH465" i="1"/>
  <c r="AH506" i="1"/>
  <c r="AI138" i="1"/>
  <c r="AI231" i="1"/>
  <c r="AI318" i="1"/>
  <c r="AI339" i="1"/>
  <c r="AI368" i="1"/>
  <c r="AI455" i="1"/>
  <c r="AI508" i="1"/>
  <c r="AI76" i="1"/>
  <c r="AI125" i="1"/>
  <c r="AI186" i="1"/>
  <c r="AI234" i="1"/>
  <c r="AI332" i="1"/>
  <c r="AI369" i="1"/>
  <c r="AI417" i="1"/>
  <c r="AI465" i="1"/>
  <c r="AI506" i="1"/>
  <c r="AF46" i="1"/>
  <c r="AF65" i="1"/>
  <c r="AF94" i="1"/>
  <c r="AF137" i="1"/>
  <c r="AF171" i="1"/>
  <c r="AF209" i="1"/>
  <c r="AF282" i="1"/>
  <c r="AF324" i="1"/>
  <c r="AF356" i="1"/>
  <c r="AF389" i="1"/>
  <c r="AF433" i="1"/>
  <c r="AF475" i="1"/>
  <c r="AF497" i="1"/>
  <c r="AG46" i="1"/>
  <c r="AG65" i="1"/>
  <c r="AG94" i="1"/>
  <c r="AG137" i="1"/>
  <c r="AG171" i="1"/>
  <c r="AG209" i="1"/>
  <c r="AG282" i="1"/>
  <c r="AG324" i="1"/>
  <c r="AG356" i="1"/>
  <c r="AG389" i="1"/>
  <c r="AG433" i="1"/>
  <c r="AG475" i="1"/>
  <c r="AG497" i="1"/>
  <c r="AH46" i="1"/>
  <c r="AH65" i="1"/>
  <c r="AH94" i="1"/>
  <c r="AH137" i="1"/>
  <c r="AH171" i="1"/>
  <c r="AH209" i="1"/>
  <c r="AH282" i="1"/>
  <c r="AH324" i="1"/>
  <c r="AH356" i="1"/>
  <c r="AH389" i="1"/>
  <c r="AH433" i="1"/>
  <c r="AH475" i="1"/>
  <c r="AH497" i="1"/>
  <c r="AI46" i="1"/>
  <c r="AI65" i="1"/>
  <c r="AI94" i="1"/>
  <c r="AI137" i="1"/>
  <c r="AI171" i="1"/>
  <c r="AI209" i="1"/>
  <c r="AI282" i="1"/>
  <c r="AI324" i="1"/>
  <c r="AI356" i="1"/>
  <c r="AI389" i="1"/>
  <c r="AI433" i="1"/>
  <c r="AI475" i="1"/>
  <c r="AI497" i="1"/>
  <c r="AF17" i="1"/>
  <c r="AG17" i="1"/>
  <c r="AH17" i="1"/>
  <c r="AI17" i="1"/>
  <c r="AF175" i="1"/>
  <c r="AF362" i="1"/>
  <c r="AF446" i="1"/>
  <c r="AF481" i="1"/>
  <c r="AF499" i="1"/>
  <c r="AG175" i="1"/>
  <c r="AG362" i="1"/>
  <c r="AG446" i="1"/>
  <c r="AG481" i="1"/>
  <c r="AG499" i="1"/>
  <c r="AH175" i="1"/>
  <c r="AH362" i="1"/>
  <c r="AH446" i="1"/>
  <c r="AH481" i="1"/>
  <c r="AH499" i="1"/>
  <c r="AI175" i="1"/>
  <c r="AI362" i="1"/>
  <c r="AI446" i="1"/>
  <c r="AI481" i="1"/>
  <c r="AI499" i="1"/>
  <c r="AF64" i="1"/>
  <c r="AG64" i="1"/>
  <c r="AH64" i="1"/>
  <c r="AI64" i="1"/>
  <c r="AF298" i="1"/>
  <c r="AG298" i="1"/>
  <c r="AH298" i="1"/>
  <c r="AI298" i="1"/>
  <c r="AF290" i="1"/>
  <c r="AG290" i="1"/>
  <c r="AH290" i="1"/>
  <c r="AI290" i="1"/>
  <c r="AF223" i="1"/>
  <c r="AF423" i="1"/>
  <c r="AG223" i="1"/>
  <c r="AG423" i="1"/>
  <c r="AH223" i="1"/>
  <c r="AH423" i="1"/>
  <c r="AI223" i="1"/>
  <c r="AI423" i="1"/>
  <c r="AF21" i="1"/>
  <c r="AG21" i="1"/>
  <c r="AH21" i="1"/>
  <c r="AI21" i="1"/>
  <c r="AF120" i="1"/>
  <c r="AF286" i="1"/>
  <c r="AF422" i="1"/>
  <c r="AF440" i="1"/>
  <c r="AG120" i="1"/>
  <c r="AG286" i="1"/>
  <c r="AG422" i="1"/>
  <c r="AG440" i="1"/>
  <c r="AH120" i="1"/>
  <c r="AH286" i="1"/>
  <c r="AH422" i="1"/>
  <c r="AH440" i="1"/>
  <c r="AI120" i="1"/>
  <c r="AI286" i="1"/>
  <c r="AI422" i="1"/>
  <c r="AI440" i="1"/>
  <c r="AF24" i="1"/>
  <c r="AG24" i="1"/>
  <c r="AH24" i="1"/>
  <c r="AI24" i="1"/>
  <c r="AF449" i="1"/>
  <c r="AF47" i="1"/>
  <c r="AF210" i="1"/>
  <c r="AF19" i="1"/>
  <c r="AF166" i="1"/>
  <c r="AF220" i="1"/>
  <c r="AF448" i="1"/>
  <c r="AF22" i="1"/>
  <c r="AF193" i="1"/>
  <c r="AF16" i="1"/>
  <c r="AF157" i="1"/>
  <c r="AF213" i="1"/>
  <c r="AF437" i="1"/>
  <c r="AG449" i="1"/>
  <c r="AG47" i="1"/>
  <c r="AG210" i="1"/>
  <c r="AG19" i="1"/>
  <c r="AG166" i="1"/>
  <c r="AG220" i="1"/>
  <c r="AG448" i="1"/>
  <c r="AG22" i="1"/>
  <c r="AG193" i="1"/>
  <c r="AG16" i="1"/>
  <c r="AG157" i="1"/>
  <c r="AG213" i="1"/>
  <c r="AG437" i="1"/>
  <c r="AH449" i="1"/>
  <c r="AH47" i="1"/>
  <c r="AH210" i="1"/>
  <c r="AH19" i="1"/>
  <c r="AH166" i="1"/>
  <c r="AH220" i="1"/>
  <c r="AH448" i="1"/>
  <c r="AH22" i="1"/>
  <c r="AH193" i="1"/>
  <c r="AH16" i="1"/>
  <c r="AH157" i="1"/>
  <c r="AH213" i="1"/>
  <c r="AH437" i="1"/>
  <c r="AI449" i="1"/>
  <c r="AI47" i="1"/>
  <c r="AI210" i="1"/>
  <c r="AI19" i="1"/>
  <c r="AI166" i="1"/>
  <c r="AI220" i="1"/>
  <c r="AI448" i="1"/>
  <c r="AI22" i="1"/>
  <c r="AI193" i="1"/>
  <c r="AI16" i="1"/>
  <c r="AI157" i="1"/>
  <c r="AI213" i="1"/>
  <c r="AI437" i="1"/>
  <c r="AJ426" i="1" l="1"/>
  <c r="AJ493" i="1"/>
  <c r="AJ146" i="1"/>
  <c r="AJ251" i="1"/>
  <c r="AJ371" i="1"/>
  <c r="AJ309" i="1"/>
  <c r="AJ494" i="1"/>
  <c r="AJ152" i="1"/>
  <c r="AJ507" i="1"/>
  <c r="AJ368" i="1"/>
  <c r="AJ188" i="1"/>
  <c r="AJ456" i="1"/>
  <c r="AJ113" i="1"/>
  <c r="AJ49" i="1"/>
  <c r="AJ354" i="1"/>
  <c r="AJ73" i="1"/>
  <c r="AJ445" i="1"/>
  <c r="AJ87" i="1"/>
  <c r="AJ408" i="1"/>
  <c r="AJ11" i="1"/>
  <c r="AJ125" i="1"/>
  <c r="AJ308" i="1"/>
  <c r="AJ467" i="1"/>
  <c r="AJ128" i="1"/>
  <c r="AJ196" i="1"/>
  <c r="AJ231" i="1"/>
  <c r="AJ506" i="1"/>
  <c r="AJ455" i="1"/>
  <c r="AJ292" i="1"/>
  <c r="AJ78" i="1"/>
  <c r="AJ234" i="1"/>
  <c r="AJ418" i="1"/>
  <c r="AJ45" i="1"/>
  <c r="AJ332" i="1"/>
  <c r="AJ417" i="1"/>
  <c r="AJ186" i="1"/>
  <c r="AJ76" i="1"/>
  <c r="AJ508" i="1"/>
  <c r="AJ339" i="1"/>
  <c r="AJ318" i="1"/>
  <c r="AJ465" i="1"/>
  <c r="AJ138" i="1"/>
  <c r="AJ137" i="1"/>
  <c r="AJ369" i="1"/>
  <c r="AJ499" i="1"/>
  <c r="AJ475" i="1"/>
  <c r="AJ282" i="1"/>
  <c r="AJ389" i="1"/>
  <c r="AJ46" i="1"/>
  <c r="AJ209" i="1"/>
  <c r="AJ497" i="1"/>
  <c r="AJ171" i="1"/>
  <c r="AJ94" i="1"/>
  <c r="AJ65" i="1"/>
  <c r="AJ433" i="1"/>
  <c r="AJ356" i="1"/>
  <c r="AJ324" i="1"/>
  <c r="AJ17" i="1"/>
  <c r="AJ481" i="1"/>
  <c r="AJ362" i="1"/>
  <c r="AJ64" i="1"/>
  <c r="AJ175" i="1"/>
  <c r="AJ446" i="1"/>
  <c r="AJ298" i="1"/>
  <c r="AJ423" i="1"/>
  <c r="AJ290" i="1"/>
  <c r="AJ21" i="1"/>
  <c r="AJ223" i="1"/>
  <c r="AJ422" i="1"/>
  <c r="AJ120" i="1"/>
  <c r="AJ286" i="1"/>
  <c r="AJ24" i="1"/>
  <c r="AJ440" i="1"/>
  <c r="AJ22" i="1"/>
  <c r="AJ166" i="1"/>
  <c r="AJ47" i="1"/>
  <c r="AJ157" i="1"/>
  <c r="AJ448" i="1"/>
  <c r="AJ210" i="1"/>
  <c r="AJ449" i="1"/>
  <c r="AJ437" i="1"/>
  <c r="AJ213" i="1"/>
  <c r="AJ16" i="1"/>
  <c r="AJ193" i="1"/>
  <c r="AJ220" i="1"/>
  <c r="AJ19" i="1"/>
  <c r="AF67" i="1" l="1"/>
  <c r="AG67" i="1"/>
  <c r="AH67" i="1"/>
  <c r="AI67" i="1"/>
  <c r="AF97" i="1"/>
  <c r="AG97" i="1"/>
  <c r="AH97" i="1"/>
  <c r="AI97" i="1"/>
  <c r="AF116" i="1"/>
  <c r="AG116" i="1"/>
  <c r="AH116" i="1"/>
  <c r="AI116" i="1"/>
  <c r="AF178" i="1"/>
  <c r="AG178" i="1"/>
  <c r="AH178" i="1"/>
  <c r="AI178" i="1"/>
  <c r="AF212" i="1"/>
  <c r="AG212" i="1"/>
  <c r="AH212" i="1"/>
  <c r="AI212" i="1"/>
  <c r="AF364" i="1"/>
  <c r="AG364" i="1"/>
  <c r="AH364" i="1"/>
  <c r="AI364" i="1"/>
  <c r="AF395" i="1"/>
  <c r="AG395" i="1"/>
  <c r="AH395" i="1"/>
  <c r="AI395" i="1"/>
  <c r="AF451" i="1"/>
  <c r="AG451" i="1"/>
  <c r="AH451" i="1"/>
  <c r="AI451" i="1"/>
  <c r="AF300" i="1"/>
  <c r="AG300" i="1"/>
  <c r="AH300" i="1"/>
  <c r="AI300" i="1"/>
  <c r="AF482" i="1"/>
  <c r="AG482" i="1"/>
  <c r="AH482" i="1"/>
  <c r="AI482" i="1"/>
  <c r="AF40" i="1"/>
  <c r="AG40" i="1"/>
  <c r="AH40" i="1"/>
  <c r="AI40" i="1"/>
  <c r="AF200" i="1"/>
  <c r="AG200" i="1"/>
  <c r="AH200" i="1"/>
  <c r="AI200" i="1"/>
  <c r="AF18" i="1"/>
  <c r="AG18" i="1"/>
  <c r="AH18" i="1"/>
  <c r="AI18" i="1"/>
  <c r="AF165" i="1"/>
  <c r="AG165" i="1"/>
  <c r="AH165" i="1"/>
  <c r="AI165" i="1"/>
  <c r="AF219" i="1"/>
  <c r="AG219" i="1"/>
  <c r="AH219" i="1"/>
  <c r="AI219" i="1"/>
  <c r="AF267" i="1"/>
  <c r="AG267" i="1"/>
  <c r="AH267" i="1"/>
  <c r="AI267" i="1"/>
  <c r="AF274" i="1"/>
  <c r="AG274" i="1"/>
  <c r="AH274" i="1"/>
  <c r="AI274" i="1"/>
  <c r="AJ67" i="1" l="1"/>
  <c r="AJ97" i="1"/>
  <c r="AJ116" i="1"/>
  <c r="AJ178" i="1"/>
  <c r="AJ212" i="1"/>
  <c r="AJ451" i="1"/>
  <c r="AJ364" i="1"/>
  <c r="AJ395" i="1"/>
  <c r="AJ18" i="1"/>
  <c r="AJ300" i="1"/>
  <c r="AJ482" i="1"/>
  <c r="AJ40" i="1"/>
  <c r="AJ200" i="1"/>
  <c r="AJ219" i="1"/>
  <c r="AJ165" i="1"/>
  <c r="AJ267" i="1"/>
  <c r="AJ274" i="1"/>
  <c r="X512" i="1"/>
  <c r="Y512" i="1"/>
  <c r="Z512" i="1"/>
  <c r="AA512" i="1"/>
  <c r="AB512" i="1"/>
  <c r="AC512" i="1"/>
  <c r="AF169" i="1" l="1"/>
  <c r="AG169" i="1"/>
  <c r="AH169" i="1"/>
  <c r="AI169" i="1"/>
  <c r="AF330" i="1"/>
  <c r="AG330" i="1"/>
  <c r="AH330" i="1"/>
  <c r="AI330" i="1"/>
  <c r="AF363" i="1"/>
  <c r="AG363" i="1"/>
  <c r="AH363" i="1"/>
  <c r="AI363" i="1"/>
  <c r="AF383" i="1"/>
  <c r="AG383" i="1"/>
  <c r="AH383" i="1"/>
  <c r="AI383" i="1"/>
  <c r="AF477" i="1"/>
  <c r="AG477" i="1"/>
  <c r="AH477" i="1"/>
  <c r="AI477" i="1"/>
  <c r="L11" i="17"/>
  <c r="L7" i="17"/>
  <c r="L20" i="32"/>
  <c r="F23" i="25"/>
  <c r="F25" i="25"/>
  <c r="F27" i="25"/>
  <c r="W257" i="1"/>
  <c r="AK382" i="1"/>
  <c r="AK450" i="1"/>
  <c r="L14" i="17"/>
  <c r="E37" i="25"/>
  <c r="AF257" i="1"/>
  <c r="AF382" i="1"/>
  <c r="AF450" i="1"/>
  <c r="AG257" i="1"/>
  <c r="AG382" i="1"/>
  <c r="AG450" i="1"/>
  <c r="AH257" i="1"/>
  <c r="AH382" i="1"/>
  <c r="AH450" i="1"/>
  <c r="AI257" i="1"/>
  <c r="AI382" i="1"/>
  <c r="AI450" i="1"/>
  <c r="L9" i="17"/>
  <c r="K5" i="17"/>
  <c r="U5" i="17" s="1"/>
  <c r="C8" i="41"/>
  <c r="C7" i="41"/>
  <c r="E52" i="17"/>
  <c r="G52" i="17" s="1"/>
  <c r="K52" i="17"/>
  <c r="L52" i="17"/>
  <c r="M52" i="17"/>
  <c r="N52" i="17"/>
  <c r="O52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5" i="17"/>
  <c r="N36" i="17"/>
  <c r="N37" i="17"/>
  <c r="N38" i="17"/>
  <c r="N50" i="17"/>
  <c r="N51" i="17"/>
  <c r="N53" i="17"/>
  <c r="N54" i="17"/>
  <c r="M5" i="17"/>
  <c r="M6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5" i="17"/>
  <c r="M36" i="17"/>
  <c r="M37" i="17"/>
  <c r="M38" i="17"/>
  <c r="M50" i="17"/>
  <c r="M51" i="17"/>
  <c r="M53" i="17"/>
  <c r="M54" i="17"/>
  <c r="L6" i="17"/>
  <c r="L8" i="17"/>
  <c r="L10" i="17"/>
  <c r="L16" i="17"/>
  <c r="E50" i="17"/>
  <c r="G50" i="17" s="1"/>
  <c r="J50" i="17" s="1"/>
  <c r="K50" i="17"/>
  <c r="U50" i="17" s="1"/>
  <c r="O50" i="17"/>
  <c r="Y26" i="27"/>
  <c r="Z26" i="27"/>
  <c r="AA26" i="27"/>
  <c r="Y18" i="27"/>
  <c r="Z18" i="27"/>
  <c r="AA18" i="27"/>
  <c r="Y17" i="27"/>
  <c r="Z17" i="27"/>
  <c r="AA17" i="27"/>
  <c r="Y14" i="27"/>
  <c r="Z14" i="27"/>
  <c r="AA14" i="27"/>
  <c r="Y11" i="27"/>
  <c r="Z11" i="27"/>
  <c r="AA11" i="27"/>
  <c r="Y12" i="27"/>
  <c r="Z12" i="27"/>
  <c r="AA12" i="27"/>
  <c r="Y9" i="27"/>
  <c r="Z9" i="27"/>
  <c r="AA9" i="27"/>
  <c r="Y82" i="27"/>
  <c r="Z82" i="27"/>
  <c r="AA82" i="27"/>
  <c r="Y83" i="27"/>
  <c r="Z83" i="27"/>
  <c r="AA83" i="27"/>
  <c r="Y84" i="27"/>
  <c r="Z84" i="27"/>
  <c r="AA84" i="27"/>
  <c r="Y85" i="27"/>
  <c r="Z85" i="27"/>
  <c r="AA85" i="27"/>
  <c r="Y80" i="27"/>
  <c r="Z80" i="27"/>
  <c r="AA80" i="27"/>
  <c r="Y78" i="27"/>
  <c r="Z78" i="27"/>
  <c r="AA78" i="27"/>
  <c r="Y68" i="27"/>
  <c r="Z68" i="27"/>
  <c r="AA68" i="27"/>
  <c r="Y70" i="27"/>
  <c r="Z70" i="27"/>
  <c r="AA70" i="27"/>
  <c r="Y71" i="27"/>
  <c r="Z71" i="27"/>
  <c r="AA71" i="27"/>
  <c r="Y72" i="27"/>
  <c r="Z72" i="27"/>
  <c r="AA72" i="27"/>
  <c r="Y73" i="27"/>
  <c r="Z73" i="27"/>
  <c r="AA73" i="27"/>
  <c r="Y74" i="27"/>
  <c r="Z74" i="27"/>
  <c r="AA74" i="27"/>
  <c r="Y75" i="27"/>
  <c r="Z75" i="27"/>
  <c r="AA75" i="27"/>
  <c r="Y76" i="27"/>
  <c r="Z76" i="27"/>
  <c r="AA76" i="27"/>
  <c r="Y50" i="27"/>
  <c r="Z50" i="27"/>
  <c r="AA50" i="27"/>
  <c r="Y51" i="27"/>
  <c r="Z51" i="27"/>
  <c r="AA51" i="27"/>
  <c r="Y52" i="27"/>
  <c r="Z52" i="27"/>
  <c r="AA52" i="27"/>
  <c r="K39" i="32"/>
  <c r="X98" i="31"/>
  <c r="W98" i="31"/>
  <c r="V98" i="31"/>
  <c r="U98" i="31"/>
  <c r="T98" i="31"/>
  <c r="S98" i="31"/>
  <c r="B98" i="31"/>
  <c r="AA22" i="31"/>
  <c r="Z22" i="31"/>
  <c r="Y22" i="31"/>
  <c r="AA93" i="31"/>
  <c r="Z93" i="31"/>
  <c r="Y93" i="31"/>
  <c r="AA46" i="31"/>
  <c r="Z46" i="31"/>
  <c r="Y46" i="31"/>
  <c r="AA75" i="31"/>
  <c r="Z75" i="31"/>
  <c r="Y75" i="31"/>
  <c r="AA57" i="31"/>
  <c r="Z57" i="31"/>
  <c r="Y57" i="31"/>
  <c r="AA92" i="31"/>
  <c r="Z92" i="31"/>
  <c r="Y92" i="31"/>
  <c r="AA45" i="31"/>
  <c r="Z45" i="31"/>
  <c r="Y45" i="31"/>
  <c r="AA29" i="31"/>
  <c r="Z29" i="31"/>
  <c r="Y29" i="31"/>
  <c r="AA97" i="31"/>
  <c r="Z97" i="31"/>
  <c r="Y97" i="31"/>
  <c r="AA74" i="31"/>
  <c r="Z74" i="31"/>
  <c r="Y74" i="31"/>
  <c r="AA21" i="31"/>
  <c r="Z21" i="31"/>
  <c r="Y21" i="31"/>
  <c r="AA11" i="31"/>
  <c r="Z11" i="31"/>
  <c r="Y11" i="31"/>
  <c r="AA91" i="31"/>
  <c r="Z91" i="31"/>
  <c r="Y91" i="31"/>
  <c r="AA44" i="31"/>
  <c r="Z44" i="31"/>
  <c r="Y44" i="31"/>
  <c r="AA73" i="31"/>
  <c r="Z73" i="31"/>
  <c r="Y73" i="31"/>
  <c r="AA10" i="31"/>
  <c r="Z10" i="31"/>
  <c r="Y10" i="31"/>
  <c r="AA20" i="31"/>
  <c r="Z20" i="31"/>
  <c r="Y20" i="31"/>
  <c r="AA90" i="31"/>
  <c r="Z90" i="31"/>
  <c r="Y90" i="31"/>
  <c r="AA72" i="31"/>
  <c r="Z72" i="31"/>
  <c r="Y72" i="31"/>
  <c r="AA43" i="31"/>
  <c r="Z43" i="31"/>
  <c r="Y43" i="31"/>
  <c r="AA56" i="31"/>
  <c r="Z56" i="31"/>
  <c r="Y56" i="31"/>
  <c r="AA28" i="31"/>
  <c r="Z28" i="31"/>
  <c r="Y28" i="31"/>
  <c r="AA42" i="31"/>
  <c r="Z42" i="31"/>
  <c r="Y42" i="31"/>
  <c r="AA9" i="31"/>
  <c r="Z9" i="31"/>
  <c r="Y9" i="31"/>
  <c r="AA19" i="31"/>
  <c r="Z19" i="31"/>
  <c r="Y19" i="31"/>
  <c r="AA55" i="31"/>
  <c r="Z55" i="31"/>
  <c r="Y55" i="31"/>
  <c r="AA71" i="31"/>
  <c r="Z71" i="31"/>
  <c r="Y71" i="31"/>
  <c r="AA89" i="31"/>
  <c r="Z89" i="31"/>
  <c r="Y89" i="31"/>
  <c r="AA54" i="31"/>
  <c r="Z54" i="31"/>
  <c r="Y54" i="31"/>
  <c r="AA70" i="31"/>
  <c r="Z70" i="31"/>
  <c r="Y70" i="31"/>
  <c r="AA18" i="31"/>
  <c r="Z18" i="31"/>
  <c r="Y18" i="31"/>
  <c r="AA41" i="31"/>
  <c r="Z41" i="31"/>
  <c r="Y41" i="31"/>
  <c r="AA96" i="31"/>
  <c r="Z96" i="31"/>
  <c r="Y96" i="31"/>
  <c r="AA8" i="31"/>
  <c r="Z8" i="31"/>
  <c r="Y8" i="31"/>
  <c r="AA88" i="31"/>
  <c r="Z88" i="31"/>
  <c r="Y88" i="31"/>
  <c r="AA40" i="31"/>
  <c r="Z40" i="31"/>
  <c r="Y40" i="31"/>
  <c r="AA69" i="31"/>
  <c r="Z69" i="31"/>
  <c r="Y69" i="31"/>
  <c r="AA17" i="31"/>
  <c r="Z17" i="31"/>
  <c r="Y17" i="31"/>
  <c r="AA77" i="31"/>
  <c r="Z77" i="31"/>
  <c r="Y77" i="31"/>
  <c r="AA76" i="31"/>
  <c r="Z76" i="31"/>
  <c r="Y76" i="31"/>
  <c r="AA27" i="31"/>
  <c r="Z27" i="31"/>
  <c r="Y27" i="31"/>
  <c r="AA39" i="31"/>
  <c r="Z39" i="31"/>
  <c r="Y39" i="31"/>
  <c r="AA87" i="31"/>
  <c r="Z87" i="31"/>
  <c r="Y87" i="31"/>
  <c r="AA68" i="31"/>
  <c r="Z68" i="31"/>
  <c r="Y68" i="31"/>
  <c r="AA16" i="31"/>
  <c r="Z16" i="31"/>
  <c r="Y16" i="31"/>
  <c r="AA67" i="31"/>
  <c r="Z67" i="31"/>
  <c r="Y67" i="31"/>
  <c r="AA86" i="31"/>
  <c r="Z86" i="31"/>
  <c r="Y86" i="31"/>
  <c r="AA38" i="31"/>
  <c r="Z38" i="31"/>
  <c r="Y38" i="31"/>
  <c r="AA66" i="31"/>
  <c r="Z66" i="31"/>
  <c r="Y66" i="31"/>
  <c r="AA85" i="31"/>
  <c r="Z85" i="31"/>
  <c r="Y85" i="31"/>
  <c r="AA65" i="31"/>
  <c r="Z65" i="31"/>
  <c r="Y65" i="31"/>
  <c r="AA37" i="31"/>
  <c r="Z37" i="31"/>
  <c r="Y37" i="31"/>
  <c r="AA53" i="31"/>
  <c r="Z53" i="31"/>
  <c r="Y53" i="31"/>
  <c r="AA84" i="31"/>
  <c r="Z84" i="31"/>
  <c r="Y84" i="31"/>
  <c r="AA7" i="31"/>
  <c r="Z7" i="31"/>
  <c r="Y7" i="31"/>
  <c r="AA36" i="31"/>
  <c r="Z36" i="31"/>
  <c r="Y36" i="31"/>
  <c r="AA95" i="31"/>
  <c r="Z95" i="31"/>
  <c r="Y95" i="31"/>
  <c r="AA15" i="31"/>
  <c r="Z15" i="31"/>
  <c r="Y15" i="31"/>
  <c r="AA64" i="31"/>
  <c r="Z64" i="31"/>
  <c r="Y64" i="31"/>
  <c r="AA26" i="31"/>
  <c r="Z26" i="31"/>
  <c r="Y26" i="31"/>
  <c r="AA35" i="31"/>
  <c r="Z35" i="31"/>
  <c r="Y35" i="31"/>
  <c r="AA63" i="31"/>
  <c r="Z63" i="31"/>
  <c r="Y63" i="31"/>
  <c r="AA83" i="31"/>
  <c r="Z83" i="31"/>
  <c r="Y83" i="31"/>
  <c r="AA52" i="31"/>
  <c r="Z52" i="31"/>
  <c r="Y52" i="31"/>
  <c r="AA14" i="31"/>
  <c r="Z14" i="31"/>
  <c r="Y14" i="31"/>
  <c r="AA6" i="31"/>
  <c r="Z6" i="31"/>
  <c r="Y6" i="31"/>
  <c r="AA62" i="31"/>
  <c r="Z62" i="31"/>
  <c r="Y62" i="31"/>
  <c r="AA34" i="31"/>
  <c r="Z34" i="31"/>
  <c r="Y34" i="31"/>
  <c r="AA82" i="31"/>
  <c r="Z82" i="31"/>
  <c r="Y82" i="31"/>
  <c r="AA51" i="31"/>
  <c r="Z51" i="31"/>
  <c r="Y51" i="31"/>
  <c r="AA50" i="31"/>
  <c r="Z50" i="31"/>
  <c r="Y50" i="31"/>
  <c r="AA25" i="31"/>
  <c r="Z25" i="31"/>
  <c r="Y25" i="31"/>
  <c r="AA81" i="31"/>
  <c r="Z81" i="31"/>
  <c r="Y81" i="31"/>
  <c r="AA13" i="31"/>
  <c r="Z13" i="31"/>
  <c r="Y13" i="31"/>
  <c r="AA5" i="31"/>
  <c r="Z5" i="31"/>
  <c r="Y5" i="31"/>
  <c r="AA61" i="31"/>
  <c r="Z61" i="31"/>
  <c r="Y61" i="31"/>
  <c r="AA33" i="31"/>
  <c r="Z33" i="31"/>
  <c r="Y33" i="31"/>
  <c r="AA49" i="31"/>
  <c r="Z49" i="31"/>
  <c r="Y49" i="31"/>
  <c r="AA24" i="31"/>
  <c r="Z24" i="31"/>
  <c r="Y24" i="31"/>
  <c r="AA94" i="31"/>
  <c r="Z94" i="31"/>
  <c r="Y94" i="31"/>
  <c r="AA80" i="31"/>
  <c r="Z80" i="31"/>
  <c r="Y80" i="31"/>
  <c r="AA60" i="31"/>
  <c r="Z60" i="31"/>
  <c r="Y60" i="31"/>
  <c r="AA12" i="31"/>
  <c r="Z12" i="31"/>
  <c r="Y12" i="31"/>
  <c r="AA48" i="31"/>
  <c r="Z48" i="31"/>
  <c r="Y48" i="31"/>
  <c r="AA4" i="31"/>
  <c r="Z4" i="31"/>
  <c r="Y4" i="31"/>
  <c r="AA32" i="31"/>
  <c r="Z32" i="31"/>
  <c r="Y32" i="31"/>
  <c r="AA79" i="31"/>
  <c r="Z79" i="31"/>
  <c r="Y79" i="31"/>
  <c r="AA31" i="31"/>
  <c r="Z31" i="31"/>
  <c r="Y31" i="31"/>
  <c r="AA59" i="31"/>
  <c r="Z59" i="31"/>
  <c r="Y59" i="31"/>
  <c r="AA47" i="31"/>
  <c r="Z47" i="31"/>
  <c r="Y47" i="31"/>
  <c r="AA23" i="31"/>
  <c r="Z23" i="31"/>
  <c r="Y23" i="31"/>
  <c r="AA58" i="31"/>
  <c r="Z58" i="31"/>
  <c r="Y58" i="31"/>
  <c r="AA30" i="31"/>
  <c r="Z30" i="31"/>
  <c r="Y30" i="31"/>
  <c r="AA78" i="31"/>
  <c r="Z78" i="31"/>
  <c r="Y78" i="31"/>
  <c r="X163" i="29"/>
  <c r="W163" i="29"/>
  <c r="V163" i="29"/>
  <c r="U163" i="29"/>
  <c r="T163" i="29"/>
  <c r="S163" i="29"/>
  <c r="B163" i="29"/>
  <c r="AA162" i="29"/>
  <c r="Z162" i="29"/>
  <c r="Y162" i="29"/>
  <c r="AA161" i="29"/>
  <c r="Z161" i="29"/>
  <c r="Y161" i="29"/>
  <c r="AA160" i="29"/>
  <c r="Z160" i="29"/>
  <c r="Y160" i="29"/>
  <c r="AA159" i="29"/>
  <c r="Z159" i="29"/>
  <c r="Y159" i="29"/>
  <c r="AA158" i="29"/>
  <c r="Z158" i="29"/>
  <c r="Y158" i="29"/>
  <c r="AA157" i="29"/>
  <c r="Z157" i="29"/>
  <c r="Y157" i="29"/>
  <c r="AA156" i="29"/>
  <c r="Z156" i="29"/>
  <c r="Y156" i="29"/>
  <c r="AA155" i="29"/>
  <c r="Z155" i="29"/>
  <c r="Y155" i="29"/>
  <c r="AA154" i="29"/>
  <c r="Z154" i="29"/>
  <c r="Y154" i="29"/>
  <c r="AA153" i="29"/>
  <c r="Z153" i="29"/>
  <c r="Y153" i="29"/>
  <c r="AA152" i="29"/>
  <c r="Z152" i="29"/>
  <c r="Y152" i="29"/>
  <c r="AA151" i="29"/>
  <c r="Z151" i="29"/>
  <c r="Y151" i="29"/>
  <c r="AA150" i="29"/>
  <c r="Z150" i="29"/>
  <c r="Y150" i="29"/>
  <c r="AA149" i="29"/>
  <c r="Z149" i="29"/>
  <c r="Y149" i="29"/>
  <c r="AA148" i="29"/>
  <c r="Z148" i="29"/>
  <c r="Y148" i="29"/>
  <c r="AA147" i="29"/>
  <c r="Z147" i="29"/>
  <c r="Y147" i="29"/>
  <c r="AA146" i="29"/>
  <c r="Z146" i="29"/>
  <c r="Y146" i="29"/>
  <c r="AA145" i="29"/>
  <c r="Z145" i="29"/>
  <c r="Y145" i="29"/>
  <c r="AA144" i="29"/>
  <c r="Z144" i="29"/>
  <c r="Y144" i="29"/>
  <c r="AA143" i="29"/>
  <c r="Z143" i="29"/>
  <c r="Y143" i="29"/>
  <c r="AA142" i="29"/>
  <c r="Z142" i="29"/>
  <c r="Y142" i="29"/>
  <c r="AA141" i="29"/>
  <c r="Z141" i="29"/>
  <c r="Y141" i="29"/>
  <c r="AA140" i="29"/>
  <c r="Z140" i="29"/>
  <c r="Y140" i="29"/>
  <c r="AA139" i="29"/>
  <c r="Z139" i="29"/>
  <c r="Y139" i="29"/>
  <c r="AA138" i="29"/>
  <c r="Z138" i="29"/>
  <c r="Y138" i="29"/>
  <c r="AA137" i="29"/>
  <c r="Z137" i="29"/>
  <c r="Y137" i="29"/>
  <c r="AA136" i="29"/>
  <c r="Z136" i="29"/>
  <c r="Y136" i="29"/>
  <c r="AA135" i="29"/>
  <c r="Z135" i="29"/>
  <c r="Y135" i="29"/>
  <c r="AA134" i="29"/>
  <c r="Z134" i="29"/>
  <c r="Y134" i="29"/>
  <c r="AA133" i="29"/>
  <c r="Z133" i="29"/>
  <c r="Y133" i="29"/>
  <c r="AA132" i="29"/>
  <c r="Z132" i="29"/>
  <c r="Y132" i="29"/>
  <c r="AA131" i="29"/>
  <c r="Z131" i="29"/>
  <c r="Y131" i="29"/>
  <c r="AA130" i="29"/>
  <c r="Z130" i="29"/>
  <c r="Y130" i="29"/>
  <c r="AA129" i="29"/>
  <c r="Z129" i="29"/>
  <c r="Y129" i="29"/>
  <c r="AA128" i="29"/>
  <c r="Z128" i="29"/>
  <c r="Y128" i="29"/>
  <c r="AA127" i="29"/>
  <c r="Z127" i="29"/>
  <c r="Y127" i="29"/>
  <c r="AA126" i="29"/>
  <c r="Z126" i="29"/>
  <c r="Y126" i="29"/>
  <c r="AA125" i="29"/>
  <c r="Z125" i="29"/>
  <c r="Y125" i="29"/>
  <c r="AA124" i="29"/>
  <c r="Z124" i="29"/>
  <c r="Y124" i="29"/>
  <c r="AA123" i="29"/>
  <c r="Z123" i="29"/>
  <c r="Y123" i="29"/>
  <c r="AA122" i="29"/>
  <c r="Z122" i="29"/>
  <c r="Y122" i="29"/>
  <c r="AA121" i="29"/>
  <c r="Z121" i="29"/>
  <c r="Y121" i="29"/>
  <c r="AA120" i="29"/>
  <c r="Z120" i="29"/>
  <c r="Y120" i="29"/>
  <c r="AA119" i="29"/>
  <c r="Z119" i="29"/>
  <c r="Y119" i="29"/>
  <c r="AA118" i="29"/>
  <c r="Z118" i="29"/>
  <c r="Y118" i="29"/>
  <c r="AA117" i="29"/>
  <c r="Z117" i="29"/>
  <c r="Y117" i="29"/>
  <c r="AA116" i="29"/>
  <c r="Z116" i="29"/>
  <c r="Y116" i="29"/>
  <c r="AA115" i="29"/>
  <c r="Z115" i="29"/>
  <c r="Y115" i="29"/>
  <c r="AA114" i="29"/>
  <c r="Z114" i="29"/>
  <c r="Y114" i="29"/>
  <c r="AA113" i="29"/>
  <c r="Z113" i="29"/>
  <c r="Y113" i="29"/>
  <c r="AA112" i="29"/>
  <c r="Z112" i="29"/>
  <c r="Y112" i="29"/>
  <c r="AA111" i="29"/>
  <c r="Z111" i="29"/>
  <c r="Y111" i="29"/>
  <c r="AA110" i="29"/>
  <c r="Z110" i="29"/>
  <c r="Y110" i="29"/>
  <c r="AA109" i="29"/>
  <c r="Z109" i="29"/>
  <c r="Y109" i="29"/>
  <c r="AA108" i="29"/>
  <c r="Z108" i="29"/>
  <c r="Y108" i="29"/>
  <c r="AA107" i="29"/>
  <c r="Z107" i="29"/>
  <c r="Y107" i="29"/>
  <c r="AA106" i="29"/>
  <c r="Z106" i="29"/>
  <c r="Y106" i="29"/>
  <c r="AA105" i="29"/>
  <c r="Z105" i="29"/>
  <c r="Y105" i="29"/>
  <c r="AA104" i="29"/>
  <c r="Z104" i="29"/>
  <c r="Y104" i="29"/>
  <c r="AA103" i="29"/>
  <c r="Z103" i="29"/>
  <c r="Y103" i="29"/>
  <c r="AA102" i="29"/>
  <c r="Z102" i="29"/>
  <c r="Y102" i="29"/>
  <c r="AA101" i="29"/>
  <c r="Z101" i="29"/>
  <c r="Y101" i="29"/>
  <c r="AA100" i="29"/>
  <c r="Z100" i="29"/>
  <c r="Y100" i="29"/>
  <c r="AA99" i="29"/>
  <c r="Z99" i="29"/>
  <c r="Y99" i="29"/>
  <c r="AA98" i="29"/>
  <c r="Z98" i="29"/>
  <c r="Y98" i="29"/>
  <c r="AA97" i="29"/>
  <c r="Z97" i="29"/>
  <c r="Y97" i="29"/>
  <c r="AA96" i="29"/>
  <c r="Z96" i="29"/>
  <c r="Y96" i="29"/>
  <c r="AA95" i="29"/>
  <c r="Z95" i="29"/>
  <c r="Y95" i="29"/>
  <c r="AA94" i="29"/>
  <c r="Z94" i="29"/>
  <c r="Y94" i="29"/>
  <c r="AA93" i="29"/>
  <c r="Z93" i="29"/>
  <c r="Y93" i="29"/>
  <c r="AA92" i="29"/>
  <c r="Z92" i="29"/>
  <c r="Y92" i="29"/>
  <c r="AA91" i="29"/>
  <c r="Z91" i="29"/>
  <c r="Y91" i="29"/>
  <c r="AA90" i="29"/>
  <c r="Z90" i="29"/>
  <c r="Y90" i="29"/>
  <c r="AA89" i="29"/>
  <c r="Z89" i="29"/>
  <c r="Y89" i="29"/>
  <c r="AA88" i="29"/>
  <c r="Z88" i="29"/>
  <c r="Y88" i="29"/>
  <c r="AA87" i="29"/>
  <c r="Z87" i="29"/>
  <c r="Y87" i="29"/>
  <c r="AA86" i="29"/>
  <c r="Z86" i="29"/>
  <c r="Y86" i="29"/>
  <c r="AA85" i="29"/>
  <c r="Z85" i="29"/>
  <c r="Y85" i="29"/>
  <c r="AA84" i="29"/>
  <c r="Z84" i="29"/>
  <c r="Y84" i="29"/>
  <c r="AA83" i="29"/>
  <c r="Z83" i="29"/>
  <c r="Y83" i="29"/>
  <c r="AA82" i="29"/>
  <c r="Z82" i="29"/>
  <c r="Y82" i="29"/>
  <c r="AA81" i="29"/>
  <c r="Z81" i="29"/>
  <c r="Y81" i="29"/>
  <c r="AA80" i="29"/>
  <c r="Z80" i="29"/>
  <c r="Y80" i="29"/>
  <c r="AA79" i="29"/>
  <c r="Z79" i="29"/>
  <c r="Y79" i="29"/>
  <c r="AA78" i="29"/>
  <c r="Z78" i="29"/>
  <c r="Y78" i="29"/>
  <c r="AA77" i="29"/>
  <c r="Z77" i="29"/>
  <c r="Y77" i="29"/>
  <c r="AA76" i="29"/>
  <c r="Z76" i="29"/>
  <c r="Y76" i="29"/>
  <c r="AA75" i="29"/>
  <c r="Z75" i="29"/>
  <c r="Y75" i="29"/>
  <c r="AA74" i="29"/>
  <c r="Z74" i="29"/>
  <c r="Y74" i="29"/>
  <c r="AA73" i="29"/>
  <c r="Z73" i="29"/>
  <c r="Y73" i="29"/>
  <c r="AA72" i="29"/>
  <c r="Z72" i="29"/>
  <c r="Y72" i="29"/>
  <c r="AA71" i="29"/>
  <c r="Z71" i="29"/>
  <c r="Y71" i="29"/>
  <c r="AA70" i="29"/>
  <c r="Z70" i="29"/>
  <c r="Y70" i="29"/>
  <c r="AA69" i="29"/>
  <c r="Z69" i="29"/>
  <c r="Y69" i="29"/>
  <c r="AA68" i="29"/>
  <c r="Z68" i="29"/>
  <c r="Y68" i="29"/>
  <c r="AA67" i="29"/>
  <c r="Z67" i="29"/>
  <c r="Y67" i="29"/>
  <c r="AA66" i="29"/>
  <c r="Z66" i="29"/>
  <c r="Y66" i="29"/>
  <c r="AA65" i="29"/>
  <c r="Z65" i="29"/>
  <c r="Y65" i="29"/>
  <c r="AA64" i="29"/>
  <c r="Z64" i="29"/>
  <c r="Y64" i="29"/>
  <c r="AA63" i="29"/>
  <c r="Z63" i="29"/>
  <c r="Y63" i="29"/>
  <c r="AA62" i="29"/>
  <c r="Z62" i="29"/>
  <c r="Y62" i="29"/>
  <c r="AA61" i="29"/>
  <c r="Z61" i="29"/>
  <c r="Y61" i="29"/>
  <c r="AA60" i="29"/>
  <c r="Z60" i="29"/>
  <c r="Y60" i="29"/>
  <c r="AA59" i="29"/>
  <c r="Z59" i="29"/>
  <c r="Y59" i="29"/>
  <c r="AA58" i="29"/>
  <c r="Z58" i="29"/>
  <c r="Y58" i="29"/>
  <c r="AA57" i="29"/>
  <c r="Z57" i="29"/>
  <c r="Y57" i="29"/>
  <c r="AA56" i="29"/>
  <c r="Z56" i="29"/>
  <c r="Y56" i="29"/>
  <c r="AA55" i="29"/>
  <c r="Z55" i="29"/>
  <c r="Y55" i="29"/>
  <c r="AA54" i="29"/>
  <c r="Z54" i="29"/>
  <c r="Y54" i="29"/>
  <c r="AA53" i="29"/>
  <c r="Z53" i="29"/>
  <c r="Y53" i="29"/>
  <c r="AA52" i="29"/>
  <c r="Z52" i="29"/>
  <c r="Y52" i="29"/>
  <c r="AA51" i="29"/>
  <c r="Z51" i="29"/>
  <c r="Y51" i="29"/>
  <c r="AA50" i="29"/>
  <c r="Z50" i="29"/>
  <c r="Y50" i="29"/>
  <c r="AA49" i="29"/>
  <c r="Z49" i="29"/>
  <c r="Y49" i="29"/>
  <c r="AA48" i="29"/>
  <c r="Z48" i="29"/>
  <c r="Y48" i="29"/>
  <c r="AA47" i="29"/>
  <c r="Z47" i="29"/>
  <c r="Y47" i="29"/>
  <c r="AA46" i="29"/>
  <c r="Z46" i="29"/>
  <c r="Y46" i="29"/>
  <c r="AA45" i="29"/>
  <c r="Z45" i="29"/>
  <c r="Y45" i="29"/>
  <c r="AA44" i="29"/>
  <c r="Z44" i="29"/>
  <c r="Y44" i="29"/>
  <c r="AA43" i="29"/>
  <c r="Z43" i="29"/>
  <c r="Y43" i="29"/>
  <c r="AA42" i="29"/>
  <c r="Z42" i="29"/>
  <c r="Y42" i="29"/>
  <c r="AA41" i="29"/>
  <c r="Z41" i="29"/>
  <c r="Y41" i="29"/>
  <c r="AA40" i="29"/>
  <c r="Z40" i="29"/>
  <c r="Y40" i="29"/>
  <c r="AA39" i="29"/>
  <c r="Z39" i="29"/>
  <c r="Y39" i="29"/>
  <c r="AA38" i="29"/>
  <c r="Z38" i="29"/>
  <c r="Y38" i="29"/>
  <c r="AA37" i="29"/>
  <c r="Z37" i="29"/>
  <c r="Y37" i="29"/>
  <c r="AA36" i="29"/>
  <c r="Z36" i="29"/>
  <c r="Y36" i="29"/>
  <c r="AA35" i="29"/>
  <c r="Z35" i="29"/>
  <c r="Y35" i="29"/>
  <c r="AA34" i="29"/>
  <c r="Z34" i="29"/>
  <c r="Y34" i="29"/>
  <c r="AA33" i="29"/>
  <c r="Z33" i="29"/>
  <c r="Y33" i="29"/>
  <c r="AA32" i="29"/>
  <c r="Z32" i="29"/>
  <c r="Y32" i="29"/>
  <c r="AA31" i="29"/>
  <c r="Z31" i="29"/>
  <c r="Y31" i="29"/>
  <c r="AA30" i="29"/>
  <c r="Z30" i="29"/>
  <c r="Y30" i="29"/>
  <c r="AA29" i="29"/>
  <c r="Z29" i="29"/>
  <c r="Y29" i="29"/>
  <c r="AA28" i="29"/>
  <c r="Z28" i="29"/>
  <c r="Y28" i="29"/>
  <c r="AA27" i="29"/>
  <c r="Z27" i="29"/>
  <c r="Y27" i="29"/>
  <c r="AA26" i="29"/>
  <c r="Z26" i="29"/>
  <c r="Y26" i="29"/>
  <c r="AA25" i="29"/>
  <c r="Z25" i="29"/>
  <c r="Y25" i="29"/>
  <c r="AA24" i="29"/>
  <c r="Z24" i="29"/>
  <c r="Y24" i="29"/>
  <c r="AA23" i="29"/>
  <c r="Z23" i="29"/>
  <c r="Y23" i="29"/>
  <c r="AA22" i="29"/>
  <c r="Z22" i="29"/>
  <c r="Y22" i="29"/>
  <c r="AA21" i="29"/>
  <c r="Z21" i="29"/>
  <c r="Y21" i="29"/>
  <c r="AA20" i="29"/>
  <c r="Z20" i="29"/>
  <c r="Y20" i="29"/>
  <c r="AA19" i="29"/>
  <c r="Z19" i="29"/>
  <c r="Y19" i="29"/>
  <c r="AA18" i="29"/>
  <c r="Z18" i="29"/>
  <c r="Y18" i="29"/>
  <c r="AA17" i="29"/>
  <c r="Z17" i="29"/>
  <c r="Y17" i="29"/>
  <c r="AA16" i="29"/>
  <c r="Z16" i="29"/>
  <c r="Y16" i="29"/>
  <c r="AA15" i="29"/>
  <c r="Z15" i="29"/>
  <c r="Y15" i="29"/>
  <c r="AA14" i="29"/>
  <c r="Z14" i="29"/>
  <c r="Y14" i="29"/>
  <c r="AA13" i="29"/>
  <c r="Z13" i="29"/>
  <c r="Y13" i="29"/>
  <c r="AA12" i="29"/>
  <c r="Z12" i="29"/>
  <c r="Y12" i="29"/>
  <c r="AA11" i="29"/>
  <c r="Z11" i="29"/>
  <c r="Y11" i="29"/>
  <c r="AA10" i="29"/>
  <c r="Z10" i="29"/>
  <c r="Y10" i="29"/>
  <c r="AA9" i="29"/>
  <c r="Z9" i="29"/>
  <c r="Y9" i="29"/>
  <c r="AA8" i="29"/>
  <c r="Z8" i="29"/>
  <c r="Y8" i="29"/>
  <c r="AA7" i="29"/>
  <c r="Z7" i="29"/>
  <c r="Y7" i="29"/>
  <c r="AA6" i="29"/>
  <c r="Z6" i="29"/>
  <c r="Y6" i="29"/>
  <c r="AA5" i="29"/>
  <c r="Z5" i="29"/>
  <c r="Y5" i="29"/>
  <c r="AA4" i="29"/>
  <c r="Z4" i="29"/>
  <c r="Y4" i="29"/>
  <c r="Q98" i="31"/>
  <c r="R98" i="31"/>
  <c r="Q163" i="29"/>
  <c r="R163" i="29"/>
  <c r="X459" i="28"/>
  <c r="W459" i="28"/>
  <c r="V459" i="28"/>
  <c r="U459" i="28"/>
  <c r="T459" i="28"/>
  <c r="S459" i="28"/>
  <c r="B459" i="28"/>
  <c r="AA458" i="28"/>
  <c r="Z458" i="28"/>
  <c r="Y458" i="28"/>
  <c r="AA457" i="28"/>
  <c r="Z457" i="28"/>
  <c r="Y457" i="28"/>
  <c r="AA456" i="28"/>
  <c r="Z456" i="28"/>
  <c r="Y456" i="28"/>
  <c r="AA455" i="28"/>
  <c r="Z455" i="28"/>
  <c r="Y455" i="28"/>
  <c r="AA454" i="28"/>
  <c r="Z454" i="28"/>
  <c r="Y454" i="28"/>
  <c r="AA453" i="28"/>
  <c r="Z453" i="28"/>
  <c r="Y453" i="28"/>
  <c r="AA452" i="28"/>
  <c r="Z452" i="28"/>
  <c r="Y452" i="28"/>
  <c r="AA451" i="28"/>
  <c r="Z451" i="28"/>
  <c r="Y451" i="28"/>
  <c r="AA450" i="28"/>
  <c r="Z450" i="28"/>
  <c r="Y450" i="28"/>
  <c r="AA449" i="28"/>
  <c r="Z449" i="28"/>
  <c r="Y449" i="28"/>
  <c r="AA448" i="28"/>
  <c r="Z448" i="28"/>
  <c r="Y448" i="28"/>
  <c r="AA447" i="28"/>
  <c r="Z447" i="28"/>
  <c r="Y447" i="28"/>
  <c r="AA446" i="28"/>
  <c r="Z446" i="28"/>
  <c r="Y446" i="28"/>
  <c r="AA445" i="28"/>
  <c r="Z445" i="28"/>
  <c r="Y445" i="28"/>
  <c r="AA444" i="28"/>
  <c r="Z444" i="28"/>
  <c r="Y444" i="28"/>
  <c r="AA443" i="28"/>
  <c r="Z443" i="28"/>
  <c r="Y443" i="28"/>
  <c r="AA442" i="28"/>
  <c r="Z442" i="28"/>
  <c r="Y442" i="28"/>
  <c r="AA441" i="28"/>
  <c r="Z441" i="28"/>
  <c r="Y441" i="28"/>
  <c r="AA440" i="28"/>
  <c r="Z440" i="28"/>
  <c r="Y440" i="28"/>
  <c r="AA439" i="28"/>
  <c r="Z439" i="28"/>
  <c r="Y439" i="28"/>
  <c r="AA438" i="28"/>
  <c r="Z438" i="28"/>
  <c r="Y438" i="28"/>
  <c r="AA437" i="28"/>
  <c r="Z437" i="28"/>
  <c r="Y437" i="28"/>
  <c r="AA436" i="28"/>
  <c r="Z436" i="28"/>
  <c r="Y436" i="28"/>
  <c r="AA435" i="28"/>
  <c r="Z435" i="28"/>
  <c r="Y435" i="28"/>
  <c r="AA434" i="28"/>
  <c r="Z434" i="28"/>
  <c r="Y434" i="28"/>
  <c r="AA433" i="28"/>
  <c r="Z433" i="28"/>
  <c r="Y433" i="28"/>
  <c r="AA432" i="28"/>
  <c r="Z432" i="28"/>
  <c r="Y432" i="28"/>
  <c r="AA431" i="28"/>
  <c r="Z431" i="28"/>
  <c r="Y431" i="28"/>
  <c r="AA430" i="28"/>
  <c r="Z430" i="28"/>
  <c r="Y430" i="28"/>
  <c r="AA429" i="28"/>
  <c r="Z429" i="28"/>
  <c r="Y429" i="28"/>
  <c r="AA428" i="28"/>
  <c r="Z428" i="28"/>
  <c r="Y428" i="28"/>
  <c r="AA427" i="28"/>
  <c r="Z427" i="28"/>
  <c r="Y427" i="28"/>
  <c r="AA426" i="28"/>
  <c r="Z426" i="28"/>
  <c r="Y426" i="28"/>
  <c r="AA425" i="28"/>
  <c r="Z425" i="28"/>
  <c r="Y425" i="28"/>
  <c r="AA424" i="28"/>
  <c r="Z424" i="28"/>
  <c r="Y424" i="28"/>
  <c r="AA423" i="28"/>
  <c r="Z423" i="28"/>
  <c r="Y423" i="28"/>
  <c r="AA422" i="28"/>
  <c r="Z422" i="28"/>
  <c r="Y422" i="28"/>
  <c r="AA421" i="28"/>
  <c r="Z421" i="28"/>
  <c r="Y421" i="28"/>
  <c r="AA419" i="28"/>
  <c r="Z419" i="28"/>
  <c r="Y419" i="28"/>
  <c r="AA418" i="28"/>
  <c r="Z418" i="28"/>
  <c r="Y418" i="28"/>
  <c r="AA417" i="28"/>
  <c r="Z417" i="28"/>
  <c r="Y417" i="28"/>
  <c r="AA416" i="28"/>
  <c r="Z416" i="28"/>
  <c r="Y416" i="28"/>
  <c r="AA415" i="28"/>
  <c r="Z415" i="28"/>
  <c r="Y415" i="28"/>
  <c r="AA414" i="28"/>
  <c r="Z414" i="28"/>
  <c r="Y414" i="28"/>
  <c r="AA413" i="28"/>
  <c r="Z413" i="28"/>
  <c r="Y413" i="28"/>
  <c r="AA412" i="28"/>
  <c r="Z412" i="28"/>
  <c r="Y412" i="28"/>
  <c r="AA411" i="28"/>
  <c r="Z411" i="28"/>
  <c r="Y411" i="28"/>
  <c r="AA410" i="28"/>
  <c r="Z410" i="28"/>
  <c r="Y410" i="28"/>
  <c r="AA409" i="28"/>
  <c r="Z409" i="28"/>
  <c r="Y409" i="28"/>
  <c r="AA408" i="28"/>
  <c r="Z408" i="28"/>
  <c r="Y408" i="28"/>
  <c r="AA407" i="28"/>
  <c r="Z407" i="28"/>
  <c r="Y407" i="28"/>
  <c r="AA406" i="28"/>
  <c r="Z406" i="28"/>
  <c r="Y406" i="28"/>
  <c r="AA405" i="28"/>
  <c r="Z405" i="28"/>
  <c r="Y405" i="28"/>
  <c r="AA404" i="28"/>
  <c r="Z404" i="28"/>
  <c r="Y404" i="28"/>
  <c r="AA403" i="28"/>
  <c r="Z403" i="28"/>
  <c r="Y403" i="28"/>
  <c r="AA402" i="28"/>
  <c r="Z402" i="28"/>
  <c r="Y402" i="28"/>
  <c r="AA401" i="28"/>
  <c r="Z401" i="28"/>
  <c r="Y401" i="28"/>
  <c r="AA400" i="28"/>
  <c r="Z400" i="28"/>
  <c r="Y400" i="28"/>
  <c r="AA399" i="28"/>
  <c r="Z399" i="28"/>
  <c r="Y399" i="28"/>
  <c r="AA398" i="28"/>
  <c r="Z398" i="28"/>
  <c r="Y398" i="28"/>
  <c r="AA397" i="28"/>
  <c r="Z397" i="28"/>
  <c r="Y397" i="28"/>
  <c r="AA396" i="28"/>
  <c r="Z396" i="28"/>
  <c r="Y396" i="28"/>
  <c r="AA395" i="28"/>
  <c r="Z395" i="28"/>
  <c r="Y395" i="28"/>
  <c r="AA394" i="28"/>
  <c r="Z394" i="28"/>
  <c r="Y394" i="28"/>
  <c r="AA393" i="28"/>
  <c r="Z393" i="28"/>
  <c r="Y393" i="28"/>
  <c r="AA392" i="28"/>
  <c r="Z392" i="28"/>
  <c r="Y392" i="28"/>
  <c r="AA391" i="28"/>
  <c r="Z391" i="28"/>
  <c r="Y391" i="28"/>
  <c r="AA390" i="28"/>
  <c r="Z390" i="28"/>
  <c r="Y390" i="28"/>
  <c r="AA389" i="28"/>
  <c r="Z389" i="28"/>
  <c r="Y389" i="28"/>
  <c r="AA388" i="28"/>
  <c r="Z388" i="28"/>
  <c r="Y388" i="28"/>
  <c r="AA387" i="28"/>
  <c r="Z387" i="28"/>
  <c r="Y387" i="28"/>
  <c r="AA386" i="28"/>
  <c r="Z386" i="28"/>
  <c r="Y386" i="28"/>
  <c r="AA385" i="28"/>
  <c r="Z385" i="28"/>
  <c r="Y385" i="28"/>
  <c r="AA384" i="28"/>
  <c r="Z384" i="28"/>
  <c r="Y384" i="28"/>
  <c r="AA383" i="28"/>
  <c r="Z383" i="28"/>
  <c r="Y383" i="28"/>
  <c r="AA382" i="28"/>
  <c r="Z382" i="28"/>
  <c r="Y382" i="28"/>
  <c r="AA381" i="28"/>
  <c r="Z381" i="28"/>
  <c r="Y381" i="28"/>
  <c r="AA380" i="28"/>
  <c r="Z380" i="28"/>
  <c r="Y380" i="28"/>
  <c r="AA379" i="28"/>
  <c r="Z379" i="28"/>
  <c r="Y379" i="28"/>
  <c r="AA378" i="28"/>
  <c r="Z378" i="28"/>
  <c r="Y378" i="28"/>
  <c r="AA377" i="28"/>
  <c r="Z377" i="28"/>
  <c r="Y377" i="28"/>
  <c r="AA376" i="28"/>
  <c r="Z376" i="28"/>
  <c r="Y376" i="28"/>
  <c r="AA375" i="28"/>
  <c r="Z375" i="28"/>
  <c r="Y375" i="28"/>
  <c r="AA374" i="28"/>
  <c r="Z374" i="28"/>
  <c r="Y374" i="28"/>
  <c r="AA373" i="28"/>
  <c r="Z373" i="28"/>
  <c r="Y373" i="28"/>
  <c r="AA372" i="28"/>
  <c r="Z372" i="28"/>
  <c r="Y372" i="28"/>
  <c r="AA371" i="28"/>
  <c r="Z371" i="28"/>
  <c r="Y371" i="28"/>
  <c r="AA370" i="28"/>
  <c r="Z370" i="28"/>
  <c r="Y370" i="28"/>
  <c r="AA369" i="28"/>
  <c r="Z369" i="28"/>
  <c r="Y369" i="28"/>
  <c r="AA368" i="28"/>
  <c r="Z368" i="28"/>
  <c r="Y368" i="28"/>
  <c r="AA367" i="28"/>
  <c r="Z367" i="28"/>
  <c r="Y367" i="28"/>
  <c r="AA366" i="28"/>
  <c r="Z366" i="28"/>
  <c r="Y366" i="28"/>
  <c r="AA365" i="28"/>
  <c r="Z365" i="28"/>
  <c r="Y365" i="28"/>
  <c r="AA364" i="28"/>
  <c r="Z364" i="28"/>
  <c r="Y364" i="28"/>
  <c r="AA363" i="28"/>
  <c r="Z363" i="28"/>
  <c r="Y363" i="28"/>
  <c r="AA362" i="28"/>
  <c r="Z362" i="28"/>
  <c r="Y362" i="28"/>
  <c r="AA361" i="28"/>
  <c r="Z361" i="28"/>
  <c r="Y361" i="28"/>
  <c r="AA359" i="28"/>
  <c r="Z359" i="28"/>
  <c r="Y359" i="28"/>
  <c r="AA358" i="28"/>
  <c r="Z358" i="28"/>
  <c r="Y358" i="28"/>
  <c r="AA357" i="28"/>
  <c r="Z357" i="28"/>
  <c r="Y357" i="28"/>
  <c r="AA356" i="28"/>
  <c r="Z356" i="28"/>
  <c r="Y356" i="28"/>
  <c r="AA355" i="28"/>
  <c r="Z355" i="28"/>
  <c r="Y355" i="28"/>
  <c r="AA354" i="28"/>
  <c r="Z354" i="28"/>
  <c r="Y354" i="28"/>
  <c r="AA353" i="28"/>
  <c r="Z353" i="28"/>
  <c r="Y353" i="28"/>
  <c r="AA352" i="28"/>
  <c r="Z352" i="28"/>
  <c r="Y352" i="28"/>
  <c r="AA351" i="28"/>
  <c r="Z351" i="28"/>
  <c r="Y351" i="28"/>
  <c r="AA350" i="28"/>
  <c r="Z350" i="28"/>
  <c r="Y350" i="28"/>
  <c r="AA349" i="28"/>
  <c r="Z349" i="28"/>
  <c r="Y349" i="28"/>
  <c r="AA348" i="28"/>
  <c r="Z348" i="28"/>
  <c r="Y348" i="28"/>
  <c r="AA347" i="28"/>
  <c r="Z347" i="28"/>
  <c r="Y347" i="28"/>
  <c r="AA346" i="28"/>
  <c r="Z346" i="28"/>
  <c r="Y346" i="28"/>
  <c r="AA345" i="28"/>
  <c r="Z345" i="28"/>
  <c r="Y345" i="28"/>
  <c r="AA344" i="28"/>
  <c r="Z344" i="28"/>
  <c r="Y344" i="28"/>
  <c r="AA343" i="28"/>
  <c r="Z343" i="28"/>
  <c r="Y343" i="28"/>
  <c r="AA342" i="28"/>
  <c r="Z342" i="28"/>
  <c r="Y342" i="28"/>
  <c r="AA341" i="28"/>
  <c r="Z341" i="28"/>
  <c r="Y341" i="28"/>
  <c r="AA340" i="28"/>
  <c r="Z340" i="28"/>
  <c r="Y340" i="28"/>
  <c r="AA339" i="28"/>
  <c r="Z339" i="28"/>
  <c r="Y339" i="28"/>
  <c r="AA338" i="28"/>
  <c r="Z338" i="28"/>
  <c r="Y338" i="28"/>
  <c r="AA337" i="28"/>
  <c r="Z337" i="28"/>
  <c r="Y337" i="28"/>
  <c r="AA336" i="28"/>
  <c r="Z336" i="28"/>
  <c r="Y336" i="28"/>
  <c r="AA335" i="28"/>
  <c r="Z335" i="28"/>
  <c r="Y335" i="28"/>
  <c r="AA334" i="28"/>
  <c r="Z334" i="28"/>
  <c r="Y334" i="28"/>
  <c r="AA333" i="28"/>
  <c r="Z333" i="28"/>
  <c r="Y333" i="28"/>
  <c r="AA332" i="28"/>
  <c r="Z332" i="28"/>
  <c r="Y332" i="28"/>
  <c r="AA331" i="28"/>
  <c r="Z331" i="28"/>
  <c r="Y331" i="28"/>
  <c r="AA330" i="28"/>
  <c r="Z330" i="28"/>
  <c r="Y330" i="28"/>
  <c r="AA329" i="28"/>
  <c r="Z329" i="28"/>
  <c r="Y329" i="28"/>
  <c r="AA328" i="28"/>
  <c r="Z328" i="28"/>
  <c r="Y328" i="28"/>
  <c r="AA327" i="28"/>
  <c r="Z327" i="28"/>
  <c r="Y327" i="28"/>
  <c r="AA326" i="28"/>
  <c r="Z326" i="28"/>
  <c r="Y326" i="28"/>
  <c r="AA325" i="28"/>
  <c r="Z325" i="28"/>
  <c r="Y325" i="28"/>
  <c r="AA324" i="28"/>
  <c r="Z324" i="28"/>
  <c r="Y324" i="28"/>
  <c r="AA323" i="28"/>
  <c r="Z323" i="28"/>
  <c r="Y323" i="28"/>
  <c r="AA322" i="28"/>
  <c r="Z322" i="28"/>
  <c r="Y322" i="28"/>
  <c r="AA321" i="28"/>
  <c r="Z321" i="28"/>
  <c r="Y321" i="28"/>
  <c r="AA320" i="28"/>
  <c r="Z320" i="28"/>
  <c r="Y320" i="28"/>
  <c r="AA319" i="28"/>
  <c r="Z319" i="28"/>
  <c r="Y319" i="28"/>
  <c r="AA318" i="28"/>
  <c r="Z318" i="28"/>
  <c r="Y318" i="28"/>
  <c r="AA317" i="28"/>
  <c r="Z317" i="28"/>
  <c r="Y317" i="28"/>
  <c r="AA316" i="28"/>
  <c r="Z316" i="28"/>
  <c r="Y316" i="28"/>
  <c r="AA315" i="28"/>
  <c r="Z315" i="28"/>
  <c r="Y315" i="28"/>
  <c r="AA314" i="28"/>
  <c r="Z314" i="28"/>
  <c r="Y314" i="28"/>
  <c r="AA313" i="28"/>
  <c r="Z313" i="28"/>
  <c r="Y313" i="28"/>
  <c r="AA312" i="28"/>
  <c r="Z312" i="28"/>
  <c r="Y312" i="28"/>
  <c r="AA311" i="28"/>
  <c r="Z311" i="28"/>
  <c r="Y311" i="28"/>
  <c r="AA310" i="28"/>
  <c r="Z310" i="28"/>
  <c r="Y310" i="28"/>
  <c r="AA309" i="28"/>
  <c r="Z309" i="28"/>
  <c r="Y309" i="28"/>
  <c r="AA308" i="28"/>
  <c r="Z308" i="28"/>
  <c r="Y308" i="28"/>
  <c r="AA307" i="28"/>
  <c r="Z307" i="28"/>
  <c r="Y307" i="28"/>
  <c r="AA306" i="28"/>
  <c r="Z306" i="28"/>
  <c r="Y306" i="28"/>
  <c r="AA305" i="28"/>
  <c r="Z305" i="28"/>
  <c r="Y305" i="28"/>
  <c r="AA304" i="28"/>
  <c r="Z304" i="28"/>
  <c r="Y304" i="28"/>
  <c r="AA303" i="28"/>
  <c r="Z303" i="28"/>
  <c r="Y303" i="28"/>
  <c r="AA302" i="28"/>
  <c r="Z302" i="28"/>
  <c r="Y302" i="28"/>
  <c r="AA301" i="28"/>
  <c r="Z301" i="28"/>
  <c r="Y301" i="28"/>
  <c r="AA300" i="28"/>
  <c r="Z300" i="28"/>
  <c r="Y300" i="28"/>
  <c r="AA299" i="28"/>
  <c r="Z299" i="28"/>
  <c r="Y299" i="28"/>
  <c r="AA298" i="28"/>
  <c r="Z298" i="28"/>
  <c r="Y298" i="28"/>
  <c r="AA297" i="28"/>
  <c r="Z297" i="28"/>
  <c r="Y297" i="28"/>
  <c r="AA296" i="28"/>
  <c r="Z296" i="28"/>
  <c r="Y296" i="28"/>
  <c r="AA295" i="28"/>
  <c r="Z295" i="28"/>
  <c r="Y295" i="28"/>
  <c r="AA294" i="28"/>
  <c r="Z294" i="28"/>
  <c r="Y294" i="28"/>
  <c r="AA293" i="28"/>
  <c r="Z293" i="28"/>
  <c r="Y293" i="28"/>
  <c r="AA292" i="28"/>
  <c r="Z292" i="28"/>
  <c r="Y292" i="28"/>
  <c r="AA291" i="28"/>
  <c r="Z291" i="28"/>
  <c r="Y291" i="28"/>
  <c r="AA290" i="28"/>
  <c r="Z290" i="28"/>
  <c r="Y290" i="28"/>
  <c r="AA289" i="28"/>
  <c r="Z289" i="28"/>
  <c r="Y289" i="28"/>
  <c r="AA288" i="28"/>
  <c r="Z288" i="28"/>
  <c r="Y288" i="28"/>
  <c r="AA287" i="28"/>
  <c r="Z287" i="28"/>
  <c r="Y287" i="28"/>
  <c r="AA286" i="28"/>
  <c r="Z286" i="28"/>
  <c r="Y286" i="28"/>
  <c r="AA285" i="28"/>
  <c r="Z285" i="28"/>
  <c r="Y285" i="28"/>
  <c r="AA284" i="28"/>
  <c r="Z284" i="28"/>
  <c r="Y284" i="28"/>
  <c r="AA283" i="28"/>
  <c r="Z283" i="28"/>
  <c r="Y283" i="28"/>
  <c r="AA282" i="28"/>
  <c r="Z282" i="28"/>
  <c r="Y282" i="28"/>
  <c r="AA281" i="28"/>
  <c r="Z281" i="28"/>
  <c r="Y281" i="28"/>
  <c r="AA280" i="28"/>
  <c r="Z280" i="28"/>
  <c r="Y280" i="28"/>
  <c r="AA279" i="28"/>
  <c r="Z279" i="28"/>
  <c r="Y279" i="28"/>
  <c r="AA278" i="28"/>
  <c r="Z278" i="28"/>
  <c r="Y278" i="28"/>
  <c r="AA277" i="28"/>
  <c r="Z277" i="28"/>
  <c r="Y277" i="28"/>
  <c r="AA276" i="28"/>
  <c r="Z276" i="28"/>
  <c r="Y276" i="28"/>
  <c r="AA275" i="28"/>
  <c r="Z275" i="28"/>
  <c r="Y275" i="28"/>
  <c r="AA274" i="28"/>
  <c r="Z274" i="28"/>
  <c r="Y274" i="28"/>
  <c r="AA273" i="28"/>
  <c r="Z273" i="28"/>
  <c r="Y273" i="28"/>
  <c r="AA272" i="28"/>
  <c r="Z272" i="28"/>
  <c r="Y272" i="28"/>
  <c r="AA271" i="28"/>
  <c r="Z271" i="28"/>
  <c r="Y271" i="28"/>
  <c r="AA270" i="28"/>
  <c r="Z270" i="28"/>
  <c r="Y270" i="28"/>
  <c r="AA269" i="28"/>
  <c r="Z269" i="28"/>
  <c r="Y269" i="28"/>
  <c r="AA268" i="28"/>
  <c r="Z268" i="28"/>
  <c r="Y268" i="28"/>
  <c r="AA267" i="28"/>
  <c r="Z267" i="28"/>
  <c r="Y267" i="28"/>
  <c r="AA266" i="28"/>
  <c r="Z266" i="28"/>
  <c r="Y266" i="28"/>
  <c r="AA265" i="28"/>
  <c r="Z265" i="28"/>
  <c r="Y265" i="28"/>
  <c r="AA264" i="28"/>
  <c r="Z264" i="28"/>
  <c r="Y264" i="28"/>
  <c r="AA263" i="28"/>
  <c r="Z263" i="28"/>
  <c r="Y263" i="28"/>
  <c r="AA262" i="28"/>
  <c r="Z262" i="28"/>
  <c r="Y262" i="28"/>
  <c r="AA261" i="28"/>
  <c r="Z261" i="28"/>
  <c r="Y261" i="28"/>
  <c r="AA260" i="28"/>
  <c r="Z260" i="28"/>
  <c r="Y260" i="28"/>
  <c r="AA259" i="28"/>
  <c r="Z259" i="28"/>
  <c r="Y259" i="28"/>
  <c r="AA258" i="28"/>
  <c r="Z258" i="28"/>
  <c r="Y258" i="28"/>
  <c r="AA257" i="28"/>
  <c r="Z257" i="28"/>
  <c r="Y257" i="28"/>
  <c r="AA256" i="28"/>
  <c r="Z256" i="28"/>
  <c r="Y256" i="28"/>
  <c r="AA255" i="28"/>
  <c r="Z255" i="28"/>
  <c r="Y255" i="28"/>
  <c r="AA254" i="28"/>
  <c r="Z254" i="28"/>
  <c r="Y254" i="28"/>
  <c r="AA253" i="28"/>
  <c r="Z253" i="28"/>
  <c r="Y253" i="28"/>
  <c r="AA252" i="28"/>
  <c r="Z252" i="28"/>
  <c r="Y252" i="28"/>
  <c r="AA251" i="28"/>
  <c r="Z251" i="28"/>
  <c r="Y251" i="28"/>
  <c r="AA250" i="28"/>
  <c r="Z250" i="28"/>
  <c r="Y250" i="28"/>
  <c r="AA249" i="28"/>
  <c r="Z249" i="28"/>
  <c r="Y249" i="28"/>
  <c r="AA248" i="28"/>
  <c r="Z248" i="28"/>
  <c r="Y248" i="28"/>
  <c r="AA247" i="28"/>
  <c r="Z247" i="28"/>
  <c r="Y247" i="28"/>
  <c r="AA246" i="28"/>
  <c r="Z246" i="28"/>
  <c r="Y246" i="28"/>
  <c r="AA245" i="28"/>
  <c r="Z245" i="28"/>
  <c r="Y245" i="28"/>
  <c r="AA244" i="28"/>
  <c r="Z244" i="28"/>
  <c r="Y244" i="28"/>
  <c r="AA243" i="28"/>
  <c r="Z243" i="28"/>
  <c r="Y243" i="28"/>
  <c r="AA242" i="28"/>
  <c r="Z242" i="28"/>
  <c r="Y242" i="28"/>
  <c r="AA241" i="28"/>
  <c r="Z241" i="28"/>
  <c r="Y241" i="28"/>
  <c r="AA240" i="28"/>
  <c r="Z240" i="28"/>
  <c r="Y240" i="28"/>
  <c r="AA239" i="28"/>
  <c r="Z239" i="28"/>
  <c r="Y239" i="28"/>
  <c r="AA238" i="28"/>
  <c r="Z238" i="28"/>
  <c r="Y238" i="28"/>
  <c r="AA237" i="28"/>
  <c r="Z237" i="28"/>
  <c r="Y237" i="28"/>
  <c r="AA236" i="28"/>
  <c r="Z236" i="28"/>
  <c r="Y236" i="28"/>
  <c r="AA235" i="28"/>
  <c r="Z235" i="28"/>
  <c r="Y235" i="28"/>
  <c r="AA234" i="28"/>
  <c r="Z234" i="28"/>
  <c r="Y234" i="28"/>
  <c r="AA233" i="28"/>
  <c r="Z233" i="28"/>
  <c r="Y233" i="28"/>
  <c r="AA232" i="28"/>
  <c r="Z232" i="28"/>
  <c r="Y232" i="28"/>
  <c r="AA231" i="28"/>
  <c r="Z231" i="28"/>
  <c r="Y231" i="28"/>
  <c r="AA230" i="28"/>
  <c r="Z230" i="28"/>
  <c r="Y230" i="28"/>
  <c r="AA229" i="28"/>
  <c r="Z229" i="28"/>
  <c r="Y229" i="28"/>
  <c r="AA228" i="28"/>
  <c r="Z228" i="28"/>
  <c r="Y228" i="28"/>
  <c r="AA227" i="28"/>
  <c r="Z227" i="28"/>
  <c r="Y227" i="28"/>
  <c r="AA226" i="28"/>
  <c r="Z226" i="28"/>
  <c r="Y226" i="28"/>
  <c r="AA225" i="28"/>
  <c r="Z225" i="28"/>
  <c r="Y225" i="28"/>
  <c r="AA224" i="28"/>
  <c r="Z224" i="28"/>
  <c r="Y224" i="28"/>
  <c r="AA223" i="28"/>
  <c r="Z223" i="28"/>
  <c r="Y223" i="28"/>
  <c r="AA222" i="28"/>
  <c r="Z222" i="28"/>
  <c r="Y222" i="28"/>
  <c r="AA221" i="28"/>
  <c r="Z221" i="28"/>
  <c r="Y221" i="28"/>
  <c r="AA220" i="28"/>
  <c r="Z220" i="28"/>
  <c r="Y220" i="28"/>
  <c r="AA219" i="28"/>
  <c r="Z219" i="28"/>
  <c r="Y219" i="28"/>
  <c r="AA218" i="28"/>
  <c r="Z218" i="28"/>
  <c r="Y218" i="28"/>
  <c r="AA217" i="28"/>
  <c r="Z217" i="28"/>
  <c r="Y217" i="28"/>
  <c r="AA216" i="28"/>
  <c r="Z216" i="28"/>
  <c r="Y216" i="28"/>
  <c r="AA215" i="28"/>
  <c r="Z215" i="28"/>
  <c r="Y215" i="28"/>
  <c r="AA214" i="28"/>
  <c r="Z214" i="28"/>
  <c r="Y214" i="28"/>
  <c r="AA213" i="28"/>
  <c r="Z213" i="28"/>
  <c r="Y213" i="28"/>
  <c r="AA212" i="28"/>
  <c r="Z212" i="28"/>
  <c r="Y212" i="28"/>
  <c r="AA211" i="28"/>
  <c r="Z211" i="28"/>
  <c r="Y211" i="28"/>
  <c r="AA210" i="28"/>
  <c r="Z210" i="28"/>
  <c r="Y210" i="28"/>
  <c r="AA209" i="28"/>
  <c r="Z209" i="28"/>
  <c r="Y209" i="28"/>
  <c r="AA208" i="28"/>
  <c r="Z208" i="28"/>
  <c r="Y208" i="28"/>
  <c r="AA207" i="28"/>
  <c r="Z207" i="28"/>
  <c r="Y207" i="28"/>
  <c r="AA206" i="28"/>
  <c r="Z206" i="28"/>
  <c r="Y206" i="28"/>
  <c r="AA205" i="28"/>
  <c r="Z205" i="28"/>
  <c r="Y205" i="28"/>
  <c r="AA204" i="28"/>
  <c r="Z204" i="28"/>
  <c r="Y204" i="28"/>
  <c r="AA203" i="28"/>
  <c r="Z203" i="28"/>
  <c r="Y203" i="28"/>
  <c r="AA202" i="28"/>
  <c r="Z202" i="28"/>
  <c r="Y202" i="28"/>
  <c r="AA201" i="28"/>
  <c r="Z201" i="28"/>
  <c r="Y201" i="28"/>
  <c r="AA200" i="28"/>
  <c r="Z200" i="28"/>
  <c r="Y200" i="28"/>
  <c r="AA199" i="28"/>
  <c r="Z199" i="28"/>
  <c r="Y199" i="28"/>
  <c r="AA198" i="28"/>
  <c r="Z198" i="28"/>
  <c r="Y198" i="28"/>
  <c r="AA197" i="28"/>
  <c r="Z197" i="28"/>
  <c r="Y197" i="28"/>
  <c r="AA196" i="28"/>
  <c r="Z196" i="28"/>
  <c r="Y196" i="28"/>
  <c r="AA195" i="28"/>
  <c r="Z195" i="28"/>
  <c r="Y195" i="28"/>
  <c r="AA194" i="28"/>
  <c r="Z194" i="28"/>
  <c r="Y194" i="28"/>
  <c r="AA193" i="28"/>
  <c r="Z193" i="28"/>
  <c r="Y193" i="28"/>
  <c r="AA192" i="28"/>
  <c r="Z192" i="28"/>
  <c r="Y192" i="28"/>
  <c r="AA191" i="28"/>
  <c r="Z191" i="28"/>
  <c r="Y191" i="28"/>
  <c r="AA190" i="28"/>
  <c r="Z190" i="28"/>
  <c r="Y190" i="28"/>
  <c r="AA189" i="28"/>
  <c r="Z189" i="28"/>
  <c r="Y189" i="28"/>
  <c r="AA188" i="28"/>
  <c r="Z188" i="28"/>
  <c r="Y188" i="28"/>
  <c r="AA187" i="28"/>
  <c r="Z187" i="28"/>
  <c r="Y187" i="28"/>
  <c r="AA186" i="28"/>
  <c r="Z186" i="28"/>
  <c r="Y186" i="28"/>
  <c r="AA185" i="28"/>
  <c r="Z185" i="28"/>
  <c r="Y185" i="28"/>
  <c r="AA184" i="28"/>
  <c r="Z184" i="28"/>
  <c r="Y184" i="28"/>
  <c r="AA183" i="28"/>
  <c r="Z183" i="28"/>
  <c r="Y183" i="28"/>
  <c r="AA182" i="28"/>
  <c r="Z182" i="28"/>
  <c r="Y182" i="28"/>
  <c r="AA181" i="28"/>
  <c r="Z181" i="28"/>
  <c r="Y181" i="28"/>
  <c r="AA180" i="28"/>
  <c r="Z180" i="28"/>
  <c r="Y180" i="28"/>
  <c r="AA179" i="28"/>
  <c r="Z179" i="28"/>
  <c r="Y179" i="28"/>
  <c r="AA178" i="28"/>
  <c r="Z178" i="28"/>
  <c r="Y178" i="28"/>
  <c r="AA177" i="28"/>
  <c r="Z177" i="28"/>
  <c r="Y177" i="28"/>
  <c r="AA176" i="28"/>
  <c r="Z176" i="28"/>
  <c r="Y176" i="28"/>
  <c r="AA175" i="28"/>
  <c r="Z175" i="28"/>
  <c r="Y175" i="28"/>
  <c r="AA174" i="28"/>
  <c r="Z174" i="28"/>
  <c r="Y174" i="28"/>
  <c r="AA173" i="28"/>
  <c r="Z173" i="28"/>
  <c r="Y173" i="28"/>
  <c r="AA172" i="28"/>
  <c r="Z172" i="28"/>
  <c r="Y172" i="28"/>
  <c r="AA171" i="28"/>
  <c r="Z171" i="28"/>
  <c r="Y171" i="28"/>
  <c r="AA170" i="28"/>
  <c r="Z170" i="28"/>
  <c r="Y170" i="28"/>
  <c r="AA169" i="28"/>
  <c r="Z169" i="28"/>
  <c r="Y169" i="28"/>
  <c r="AA168" i="28"/>
  <c r="Z168" i="28"/>
  <c r="Y168" i="28"/>
  <c r="AA167" i="28"/>
  <c r="Z167" i="28"/>
  <c r="Y167" i="28"/>
  <c r="AA166" i="28"/>
  <c r="Z166" i="28"/>
  <c r="Y166" i="28"/>
  <c r="AA165" i="28"/>
  <c r="Z165" i="28"/>
  <c r="Y165" i="28"/>
  <c r="AA164" i="28"/>
  <c r="Z164" i="28"/>
  <c r="Y164" i="28"/>
  <c r="AA163" i="28"/>
  <c r="Z163" i="28"/>
  <c r="Y163" i="28"/>
  <c r="AA162" i="28"/>
  <c r="Z162" i="28"/>
  <c r="Y162" i="28"/>
  <c r="AA161" i="28"/>
  <c r="Z161" i="28"/>
  <c r="Y161" i="28"/>
  <c r="AA160" i="28"/>
  <c r="Z160" i="28"/>
  <c r="Y160" i="28"/>
  <c r="AA159" i="28"/>
  <c r="Z159" i="28"/>
  <c r="Y159" i="28"/>
  <c r="AA158" i="28"/>
  <c r="Z158" i="28"/>
  <c r="Y158" i="28"/>
  <c r="AA157" i="28"/>
  <c r="Z157" i="28"/>
  <c r="Y157" i="28"/>
  <c r="AA156" i="28"/>
  <c r="Z156" i="28"/>
  <c r="Y156" i="28"/>
  <c r="AA155" i="28"/>
  <c r="Z155" i="28"/>
  <c r="Y155" i="28"/>
  <c r="AA154" i="28"/>
  <c r="Z154" i="28"/>
  <c r="Y154" i="28"/>
  <c r="AA153" i="28"/>
  <c r="Z153" i="28"/>
  <c r="Y153" i="28"/>
  <c r="AA152" i="28"/>
  <c r="Z152" i="28"/>
  <c r="Y152" i="28"/>
  <c r="AA151" i="28"/>
  <c r="Z151" i="28"/>
  <c r="Y151" i="28"/>
  <c r="AA150" i="28"/>
  <c r="Z150" i="28"/>
  <c r="Y150" i="28"/>
  <c r="AA149" i="28"/>
  <c r="Z149" i="28"/>
  <c r="Y149" i="28"/>
  <c r="AA148" i="28"/>
  <c r="Z148" i="28"/>
  <c r="Y148" i="28"/>
  <c r="AA147" i="28"/>
  <c r="Z147" i="28"/>
  <c r="Y147" i="28"/>
  <c r="AA146" i="28"/>
  <c r="Z146" i="28"/>
  <c r="Y146" i="28"/>
  <c r="AA145" i="28"/>
  <c r="Z145" i="28"/>
  <c r="Y145" i="28"/>
  <c r="AA144" i="28"/>
  <c r="Z144" i="28"/>
  <c r="Y144" i="28"/>
  <c r="AA143" i="28"/>
  <c r="Z143" i="28"/>
  <c r="Y143" i="28"/>
  <c r="AA142" i="28"/>
  <c r="Z142" i="28"/>
  <c r="Y142" i="28"/>
  <c r="AA141" i="28"/>
  <c r="Z141" i="28"/>
  <c r="Y141" i="28"/>
  <c r="AA140" i="28"/>
  <c r="Z140" i="28"/>
  <c r="Y140" i="28"/>
  <c r="AA139" i="28"/>
  <c r="Z139" i="28"/>
  <c r="Y139" i="28"/>
  <c r="AA138" i="28"/>
  <c r="Z138" i="28"/>
  <c r="Y138" i="28"/>
  <c r="AA137" i="28"/>
  <c r="Z137" i="28"/>
  <c r="Y137" i="28"/>
  <c r="AA136" i="28"/>
  <c r="Z136" i="28"/>
  <c r="Y136" i="28"/>
  <c r="AA135" i="28"/>
  <c r="Z135" i="28"/>
  <c r="Y135" i="28"/>
  <c r="AA134" i="28"/>
  <c r="Z134" i="28"/>
  <c r="Y134" i="28"/>
  <c r="AA133" i="28"/>
  <c r="Z133" i="28"/>
  <c r="Y133" i="28"/>
  <c r="AA132" i="28"/>
  <c r="Z132" i="28"/>
  <c r="Y132" i="28"/>
  <c r="AA131" i="28"/>
  <c r="Z131" i="28"/>
  <c r="Y131" i="28"/>
  <c r="AA130" i="28"/>
  <c r="Z130" i="28"/>
  <c r="Y130" i="28"/>
  <c r="AA129" i="28"/>
  <c r="Z129" i="28"/>
  <c r="Y129" i="28"/>
  <c r="AA128" i="28"/>
  <c r="Z128" i="28"/>
  <c r="Y128" i="28"/>
  <c r="AA127" i="28"/>
  <c r="Z127" i="28"/>
  <c r="Y127" i="28"/>
  <c r="AA126" i="28"/>
  <c r="Z126" i="28"/>
  <c r="Y126" i="28"/>
  <c r="AA125" i="28"/>
  <c r="Z125" i="28"/>
  <c r="Y125" i="28"/>
  <c r="AA124" i="28"/>
  <c r="Z124" i="28"/>
  <c r="Y124" i="28"/>
  <c r="AA123" i="28"/>
  <c r="Z123" i="28"/>
  <c r="Y123" i="28"/>
  <c r="AA122" i="28"/>
  <c r="Z122" i="28"/>
  <c r="Y122" i="28"/>
  <c r="AA121" i="28"/>
  <c r="Z121" i="28"/>
  <c r="Y121" i="28"/>
  <c r="AA120" i="28"/>
  <c r="Z120" i="28"/>
  <c r="Y120" i="28"/>
  <c r="AA119" i="28"/>
  <c r="Z119" i="28"/>
  <c r="Y119" i="28"/>
  <c r="AA118" i="28"/>
  <c r="Z118" i="28"/>
  <c r="Y118" i="28"/>
  <c r="AA117" i="28"/>
  <c r="Z117" i="28"/>
  <c r="Y117" i="28"/>
  <c r="AA116" i="28"/>
  <c r="Z116" i="28"/>
  <c r="Y116" i="28"/>
  <c r="AA115" i="28"/>
  <c r="Z115" i="28"/>
  <c r="Y115" i="28"/>
  <c r="AA114" i="28"/>
  <c r="Z114" i="28"/>
  <c r="Y114" i="28"/>
  <c r="AA113" i="28"/>
  <c r="Z113" i="28"/>
  <c r="Y113" i="28"/>
  <c r="AA63" i="28"/>
  <c r="Z63" i="28"/>
  <c r="Y63" i="28"/>
  <c r="AA47" i="28"/>
  <c r="Z47" i="28"/>
  <c r="Y47" i="28"/>
  <c r="AA102" i="28"/>
  <c r="Z102" i="28"/>
  <c r="Y102" i="28"/>
  <c r="AA101" i="28"/>
  <c r="Z101" i="28"/>
  <c r="Y101" i="28"/>
  <c r="AA31" i="28"/>
  <c r="Z31" i="28"/>
  <c r="Y31" i="28"/>
  <c r="AA96" i="28"/>
  <c r="Z96" i="28"/>
  <c r="Y96" i="28"/>
  <c r="AA62" i="28"/>
  <c r="Z62" i="28"/>
  <c r="Y62" i="28"/>
  <c r="AA100" i="28"/>
  <c r="Z100" i="28"/>
  <c r="Y100" i="28"/>
  <c r="AA81" i="28"/>
  <c r="Z81" i="28"/>
  <c r="Y81" i="28"/>
  <c r="AA46" i="28"/>
  <c r="Z46" i="28"/>
  <c r="Y46" i="28"/>
  <c r="AA30" i="28"/>
  <c r="Z30" i="28"/>
  <c r="Y30" i="28"/>
  <c r="AA61" i="28"/>
  <c r="Z61" i="28"/>
  <c r="Y61" i="28"/>
  <c r="AA6" i="28"/>
  <c r="Z6" i="28"/>
  <c r="Y6" i="28"/>
  <c r="AA29" i="28"/>
  <c r="Z29" i="28"/>
  <c r="Y29" i="28"/>
  <c r="AA45" i="28"/>
  <c r="Z45" i="28"/>
  <c r="Y45" i="28"/>
  <c r="AA105" i="28"/>
  <c r="Z105" i="28"/>
  <c r="Y105" i="28"/>
  <c r="AA10" i="28"/>
  <c r="Z10" i="28"/>
  <c r="Y10" i="28"/>
  <c r="AA104" i="28"/>
  <c r="Z104" i="28"/>
  <c r="Y104" i="28"/>
  <c r="AA8" i="28"/>
  <c r="Z8" i="28"/>
  <c r="Y8" i="28"/>
  <c r="AA60" i="28"/>
  <c r="Z60" i="28"/>
  <c r="Y60" i="28"/>
  <c r="AA12" i="28"/>
  <c r="Z12" i="28"/>
  <c r="Y12" i="28"/>
  <c r="AA28" i="28"/>
  <c r="Z28" i="28"/>
  <c r="Y28" i="28"/>
  <c r="AA87" i="28"/>
  <c r="Z87" i="28"/>
  <c r="Y87" i="28"/>
  <c r="AA59" i="28"/>
  <c r="Z59" i="28"/>
  <c r="Y59" i="28"/>
  <c r="AA103" i="28"/>
  <c r="Z103" i="28"/>
  <c r="Y103" i="28"/>
  <c r="AA94" i="28"/>
  <c r="Z94" i="28"/>
  <c r="Y94" i="28"/>
  <c r="AA91" i="28"/>
  <c r="Z91" i="28"/>
  <c r="Y91" i="28"/>
  <c r="AA89" i="28"/>
  <c r="Z89" i="28"/>
  <c r="Y89" i="28"/>
  <c r="AA93" i="28"/>
  <c r="Z93" i="28"/>
  <c r="Y93" i="28"/>
  <c r="AA44" i="28"/>
  <c r="Z44" i="28"/>
  <c r="Y44" i="28"/>
  <c r="AA90" i="28"/>
  <c r="Z90" i="28"/>
  <c r="Y90" i="28"/>
  <c r="AA27" i="28"/>
  <c r="Z27" i="28"/>
  <c r="Y27" i="28"/>
  <c r="AA88" i="28"/>
  <c r="Z88" i="28"/>
  <c r="Y88" i="28"/>
  <c r="AA71" i="28"/>
  <c r="Z71" i="28"/>
  <c r="Y71" i="28"/>
  <c r="AA92" i="28"/>
  <c r="Z92" i="28"/>
  <c r="Y92" i="28"/>
  <c r="AA43" i="28"/>
  <c r="Z43" i="28"/>
  <c r="Y43" i="28"/>
  <c r="AA68" i="28"/>
  <c r="Z68" i="28"/>
  <c r="Y68" i="28"/>
  <c r="AA67" i="28"/>
  <c r="Z67" i="28"/>
  <c r="Y67" i="28"/>
  <c r="AA26" i="28"/>
  <c r="Z26" i="28"/>
  <c r="Y26" i="28"/>
  <c r="AA58" i="28"/>
  <c r="Z58" i="28"/>
  <c r="Y58" i="28"/>
  <c r="AA42" i="28"/>
  <c r="Z42" i="28"/>
  <c r="Y42" i="28"/>
  <c r="AA70" i="28"/>
  <c r="Z70" i="28"/>
  <c r="Y70" i="28"/>
  <c r="AA80" i="28"/>
  <c r="Z80" i="28"/>
  <c r="Y80" i="28"/>
  <c r="AA25" i="28"/>
  <c r="Z25" i="28"/>
  <c r="Y25" i="28"/>
  <c r="AA57" i="28"/>
  <c r="Z57" i="28"/>
  <c r="Y57" i="28"/>
  <c r="AA41" i="28"/>
  <c r="Z41" i="28"/>
  <c r="Y41" i="28"/>
  <c r="AA112" i="28"/>
  <c r="Z112" i="28"/>
  <c r="Y112" i="28"/>
  <c r="AA64" i="28"/>
  <c r="Z64" i="28"/>
  <c r="Y64" i="28"/>
  <c r="AA56" i="28"/>
  <c r="Z56" i="28"/>
  <c r="Y56" i="28"/>
  <c r="AA24" i="28"/>
  <c r="Z24" i="28"/>
  <c r="Y24" i="28"/>
  <c r="AA40" i="28"/>
  <c r="Z40" i="28"/>
  <c r="Y40" i="28"/>
  <c r="AA66" i="28"/>
  <c r="Z66" i="28"/>
  <c r="Y66" i="28"/>
  <c r="AA23" i="28"/>
  <c r="Z23" i="28"/>
  <c r="Y23" i="28"/>
  <c r="AA4" i="28"/>
  <c r="Z4" i="28"/>
  <c r="Y4" i="28"/>
  <c r="AA79" i="28"/>
  <c r="Z79" i="28"/>
  <c r="Y79" i="28"/>
  <c r="AA55" i="28"/>
  <c r="Z55" i="28"/>
  <c r="Y55" i="28"/>
  <c r="AA22" i="28"/>
  <c r="Z22" i="28"/>
  <c r="Y22" i="28"/>
  <c r="AA39" i="28"/>
  <c r="Z39" i="28"/>
  <c r="Y39" i="28"/>
  <c r="AA86" i="28"/>
  <c r="Z86" i="28"/>
  <c r="Y86" i="28"/>
  <c r="AA85" i="28"/>
  <c r="Z85" i="28"/>
  <c r="Y85" i="28"/>
  <c r="AA110" i="28"/>
  <c r="Z110" i="28"/>
  <c r="Y110" i="28"/>
  <c r="AA54" i="28"/>
  <c r="Z54" i="28"/>
  <c r="Y54" i="28"/>
  <c r="AA38" i="28"/>
  <c r="Z38" i="28"/>
  <c r="Y38" i="28"/>
  <c r="AA21" i="28"/>
  <c r="Z21" i="28"/>
  <c r="Y21" i="28"/>
  <c r="AA99" i="28"/>
  <c r="Z99" i="28"/>
  <c r="Y99" i="28"/>
  <c r="AA97" i="28"/>
  <c r="Z97" i="28"/>
  <c r="Y97" i="28"/>
  <c r="AA53" i="28"/>
  <c r="Z53" i="28"/>
  <c r="Y53" i="28"/>
  <c r="AA20" i="28"/>
  <c r="Z20" i="28"/>
  <c r="Y20" i="28"/>
  <c r="AA72" i="28"/>
  <c r="Z72" i="28"/>
  <c r="Y72" i="28"/>
  <c r="AA52" i="28"/>
  <c r="Z52" i="28"/>
  <c r="Y52" i="28"/>
  <c r="AA37" i="28"/>
  <c r="Z37" i="28"/>
  <c r="Y37" i="28"/>
  <c r="AA107" i="28"/>
  <c r="Z107" i="28"/>
  <c r="Y107" i="28"/>
  <c r="AA106" i="28"/>
  <c r="Z106" i="28"/>
  <c r="Y106" i="28"/>
  <c r="AA19" i="28"/>
  <c r="Z19" i="28"/>
  <c r="Y19" i="28"/>
  <c r="AA9" i="28"/>
  <c r="Z9" i="28"/>
  <c r="Y9" i="28"/>
  <c r="AA7" i="28"/>
  <c r="Z7" i="28"/>
  <c r="Y7" i="28"/>
  <c r="AA11" i="28"/>
  <c r="Z11" i="28"/>
  <c r="Y11" i="28"/>
  <c r="AA51" i="28"/>
  <c r="Z51" i="28"/>
  <c r="Y51" i="28"/>
  <c r="AA98" i="28"/>
  <c r="Z98" i="28"/>
  <c r="Y98" i="28"/>
  <c r="AA69" i="28"/>
  <c r="Z69" i="28"/>
  <c r="Y69" i="28"/>
  <c r="AA18" i="28"/>
  <c r="Z18" i="28"/>
  <c r="Y18" i="28"/>
  <c r="AA36" i="28"/>
  <c r="Z36" i="28"/>
  <c r="Y36" i="28"/>
  <c r="AA50" i="28"/>
  <c r="Z50" i="28"/>
  <c r="Y50" i="28"/>
  <c r="AA5" i="28"/>
  <c r="Z5" i="28"/>
  <c r="Y5" i="28"/>
  <c r="AA17" i="28"/>
  <c r="Z17" i="28"/>
  <c r="Y17" i="28"/>
  <c r="AA35" i="28"/>
  <c r="Z35" i="28"/>
  <c r="Y35" i="28"/>
  <c r="AA95" i="28"/>
  <c r="Z95" i="28"/>
  <c r="Y95" i="28"/>
  <c r="AA16" i="28"/>
  <c r="Z16" i="28"/>
  <c r="Y16" i="28"/>
  <c r="AA111" i="28"/>
  <c r="Z111" i="28"/>
  <c r="Y111" i="28"/>
  <c r="AA109" i="28"/>
  <c r="Z109" i="28"/>
  <c r="Y109" i="28"/>
  <c r="AA65" i="28"/>
  <c r="Z65" i="28"/>
  <c r="Y65" i="28"/>
  <c r="AA49" i="28"/>
  <c r="Z49" i="28"/>
  <c r="Y49" i="28"/>
  <c r="AA34" i="28"/>
  <c r="Z34" i="28"/>
  <c r="Y34" i="28"/>
  <c r="AA84" i="28"/>
  <c r="Z84" i="28"/>
  <c r="Y84" i="28"/>
  <c r="AA108" i="28"/>
  <c r="Z108" i="28"/>
  <c r="Y108" i="28"/>
  <c r="AA15" i="28"/>
  <c r="Z15" i="28"/>
  <c r="Y15" i="28"/>
  <c r="AA33" i="28"/>
  <c r="Z33" i="28"/>
  <c r="Y33" i="28"/>
  <c r="AA75" i="28"/>
  <c r="Z75" i="28"/>
  <c r="Y75" i="28"/>
  <c r="AA14" i="28"/>
  <c r="Z14" i="28"/>
  <c r="Y14" i="28"/>
  <c r="AA73" i="28"/>
  <c r="Z73" i="28"/>
  <c r="Y73" i="28"/>
  <c r="AA83" i="28"/>
  <c r="Z83" i="28"/>
  <c r="Y83" i="28"/>
  <c r="AA77" i="28"/>
  <c r="Z77" i="28"/>
  <c r="Y77" i="28"/>
  <c r="AA76" i="28"/>
  <c r="Z76" i="28"/>
  <c r="Y76" i="28"/>
  <c r="AA74" i="28"/>
  <c r="Z74" i="28"/>
  <c r="Y74" i="28"/>
  <c r="AA78" i="28"/>
  <c r="Z78" i="28"/>
  <c r="Y78" i="28"/>
  <c r="AA32" i="28"/>
  <c r="Z32" i="28"/>
  <c r="Y32" i="28"/>
  <c r="AA13" i="28"/>
  <c r="Z13" i="28"/>
  <c r="Y13" i="28"/>
  <c r="AA48" i="28"/>
  <c r="Z48" i="28"/>
  <c r="Y48" i="28"/>
  <c r="AA82" i="28"/>
  <c r="Z82" i="28"/>
  <c r="Y82" i="28"/>
  <c r="R459" i="28"/>
  <c r="Q459" i="28"/>
  <c r="X459" i="27"/>
  <c r="W459" i="27"/>
  <c r="V459" i="27"/>
  <c r="U459" i="27"/>
  <c r="T459" i="27"/>
  <c r="S459" i="27"/>
  <c r="B459" i="27"/>
  <c r="AA458" i="27"/>
  <c r="Z458" i="27"/>
  <c r="Y458" i="27"/>
  <c r="AA457" i="27"/>
  <c r="Z457" i="27"/>
  <c r="Y457" i="27"/>
  <c r="AA456" i="27"/>
  <c r="Z456" i="27"/>
  <c r="Y456" i="27"/>
  <c r="AA455" i="27"/>
  <c r="Z455" i="27"/>
  <c r="Y455" i="27"/>
  <c r="AA454" i="27"/>
  <c r="Z454" i="27"/>
  <c r="Y454" i="27"/>
  <c r="AA453" i="27"/>
  <c r="Z453" i="27"/>
  <c r="Y453" i="27"/>
  <c r="AA452" i="27"/>
  <c r="Z452" i="27"/>
  <c r="Y452" i="27"/>
  <c r="AA451" i="27"/>
  <c r="Z451" i="27"/>
  <c r="Y451" i="27"/>
  <c r="AA450" i="27"/>
  <c r="Z450" i="27"/>
  <c r="Y450" i="27"/>
  <c r="AA449" i="27"/>
  <c r="Z449" i="27"/>
  <c r="Y449" i="27"/>
  <c r="AA448" i="27"/>
  <c r="Z448" i="27"/>
  <c r="Y448" i="27"/>
  <c r="AA447" i="27"/>
  <c r="Z447" i="27"/>
  <c r="Y447" i="27"/>
  <c r="AA446" i="27"/>
  <c r="Z446" i="27"/>
  <c r="Y446" i="27"/>
  <c r="AA445" i="27"/>
  <c r="Z445" i="27"/>
  <c r="Y445" i="27"/>
  <c r="AA444" i="27"/>
  <c r="Z444" i="27"/>
  <c r="Y444" i="27"/>
  <c r="AA443" i="27"/>
  <c r="Z443" i="27"/>
  <c r="Y443" i="27"/>
  <c r="AA442" i="27"/>
  <c r="Z442" i="27"/>
  <c r="Y442" i="27"/>
  <c r="AA441" i="27"/>
  <c r="Z441" i="27"/>
  <c r="Y441" i="27"/>
  <c r="AA440" i="27"/>
  <c r="Z440" i="27"/>
  <c r="Y440" i="27"/>
  <c r="AA439" i="27"/>
  <c r="Z439" i="27"/>
  <c r="Y439" i="27"/>
  <c r="AA438" i="27"/>
  <c r="Z438" i="27"/>
  <c r="Y438" i="27"/>
  <c r="AA437" i="27"/>
  <c r="Z437" i="27"/>
  <c r="Y437" i="27"/>
  <c r="AA436" i="27"/>
  <c r="Z436" i="27"/>
  <c r="Y436" i="27"/>
  <c r="AA435" i="27"/>
  <c r="Z435" i="27"/>
  <c r="Y435" i="27"/>
  <c r="AA434" i="27"/>
  <c r="Z434" i="27"/>
  <c r="Y434" i="27"/>
  <c r="AA433" i="27"/>
  <c r="Z433" i="27"/>
  <c r="Y433" i="27"/>
  <c r="AA432" i="27"/>
  <c r="Z432" i="27"/>
  <c r="Y432" i="27"/>
  <c r="AA431" i="27"/>
  <c r="Z431" i="27"/>
  <c r="Y431" i="27"/>
  <c r="AA430" i="27"/>
  <c r="Z430" i="27"/>
  <c r="Y430" i="27"/>
  <c r="AA429" i="27"/>
  <c r="Z429" i="27"/>
  <c r="Y429" i="27"/>
  <c r="AA428" i="27"/>
  <c r="Z428" i="27"/>
  <c r="Y428" i="27"/>
  <c r="AA427" i="27"/>
  <c r="Z427" i="27"/>
  <c r="Y427" i="27"/>
  <c r="AA426" i="27"/>
  <c r="Z426" i="27"/>
  <c r="Y426" i="27"/>
  <c r="AA425" i="27"/>
  <c r="Z425" i="27"/>
  <c r="Y425" i="27"/>
  <c r="AA424" i="27"/>
  <c r="Z424" i="27"/>
  <c r="Y424" i="27"/>
  <c r="AA423" i="27"/>
  <c r="Z423" i="27"/>
  <c r="Y423" i="27"/>
  <c r="AA422" i="27"/>
  <c r="Z422" i="27"/>
  <c r="Y422" i="27"/>
  <c r="AA421" i="27"/>
  <c r="Z421" i="27"/>
  <c r="Y421" i="27"/>
  <c r="AA419" i="27"/>
  <c r="Z419" i="27"/>
  <c r="Y419" i="27"/>
  <c r="AA418" i="27"/>
  <c r="Z418" i="27"/>
  <c r="Y418" i="27"/>
  <c r="AA417" i="27"/>
  <c r="Z417" i="27"/>
  <c r="Y417" i="27"/>
  <c r="AA416" i="27"/>
  <c r="Z416" i="27"/>
  <c r="Y416" i="27"/>
  <c r="AA415" i="27"/>
  <c r="Z415" i="27"/>
  <c r="Y415" i="27"/>
  <c r="AA414" i="27"/>
  <c r="Z414" i="27"/>
  <c r="Y414" i="27"/>
  <c r="AA413" i="27"/>
  <c r="Z413" i="27"/>
  <c r="Y413" i="27"/>
  <c r="AA412" i="27"/>
  <c r="Z412" i="27"/>
  <c r="Y412" i="27"/>
  <c r="AA411" i="27"/>
  <c r="Z411" i="27"/>
  <c r="Y411" i="27"/>
  <c r="AA410" i="27"/>
  <c r="Z410" i="27"/>
  <c r="Y410" i="27"/>
  <c r="AA409" i="27"/>
  <c r="Z409" i="27"/>
  <c r="Y409" i="27"/>
  <c r="AA408" i="27"/>
  <c r="Z408" i="27"/>
  <c r="Y408" i="27"/>
  <c r="AA407" i="27"/>
  <c r="Z407" i="27"/>
  <c r="Y407" i="27"/>
  <c r="AA406" i="27"/>
  <c r="Z406" i="27"/>
  <c r="Y406" i="27"/>
  <c r="AA405" i="27"/>
  <c r="Z405" i="27"/>
  <c r="Y405" i="27"/>
  <c r="AA404" i="27"/>
  <c r="Z404" i="27"/>
  <c r="Y404" i="27"/>
  <c r="AA403" i="27"/>
  <c r="Z403" i="27"/>
  <c r="Y403" i="27"/>
  <c r="AA402" i="27"/>
  <c r="Z402" i="27"/>
  <c r="Y402" i="27"/>
  <c r="AA401" i="27"/>
  <c r="Z401" i="27"/>
  <c r="Y401" i="27"/>
  <c r="AA400" i="27"/>
  <c r="Z400" i="27"/>
  <c r="Y400" i="27"/>
  <c r="AA399" i="27"/>
  <c r="Z399" i="27"/>
  <c r="Y399" i="27"/>
  <c r="AA398" i="27"/>
  <c r="Z398" i="27"/>
  <c r="Y398" i="27"/>
  <c r="AA397" i="27"/>
  <c r="Z397" i="27"/>
  <c r="Y397" i="27"/>
  <c r="AA396" i="27"/>
  <c r="Z396" i="27"/>
  <c r="Y396" i="27"/>
  <c r="AA395" i="27"/>
  <c r="Z395" i="27"/>
  <c r="Y395" i="27"/>
  <c r="AA394" i="27"/>
  <c r="Z394" i="27"/>
  <c r="Y394" i="27"/>
  <c r="AA393" i="27"/>
  <c r="Z393" i="27"/>
  <c r="Y393" i="27"/>
  <c r="AA392" i="27"/>
  <c r="Z392" i="27"/>
  <c r="Y392" i="27"/>
  <c r="AA391" i="27"/>
  <c r="Z391" i="27"/>
  <c r="Y391" i="27"/>
  <c r="AA390" i="27"/>
  <c r="Z390" i="27"/>
  <c r="Y390" i="27"/>
  <c r="AA389" i="27"/>
  <c r="Z389" i="27"/>
  <c r="Y389" i="27"/>
  <c r="AA388" i="27"/>
  <c r="Z388" i="27"/>
  <c r="Y388" i="27"/>
  <c r="AA387" i="27"/>
  <c r="Z387" i="27"/>
  <c r="Y387" i="27"/>
  <c r="AA386" i="27"/>
  <c r="Z386" i="27"/>
  <c r="Y386" i="27"/>
  <c r="AA385" i="27"/>
  <c r="Z385" i="27"/>
  <c r="Y385" i="27"/>
  <c r="AA384" i="27"/>
  <c r="Z384" i="27"/>
  <c r="Y384" i="27"/>
  <c r="AA383" i="27"/>
  <c r="Z383" i="27"/>
  <c r="Y383" i="27"/>
  <c r="AA382" i="27"/>
  <c r="Z382" i="27"/>
  <c r="Y382" i="27"/>
  <c r="AA381" i="27"/>
  <c r="Z381" i="27"/>
  <c r="Y381" i="27"/>
  <c r="AA380" i="27"/>
  <c r="Z380" i="27"/>
  <c r="Y380" i="27"/>
  <c r="AA379" i="27"/>
  <c r="Z379" i="27"/>
  <c r="Y379" i="27"/>
  <c r="AA378" i="27"/>
  <c r="Z378" i="27"/>
  <c r="Y378" i="27"/>
  <c r="AA377" i="27"/>
  <c r="Z377" i="27"/>
  <c r="Y377" i="27"/>
  <c r="AA376" i="27"/>
  <c r="Z376" i="27"/>
  <c r="Y376" i="27"/>
  <c r="AA375" i="27"/>
  <c r="Z375" i="27"/>
  <c r="Y375" i="27"/>
  <c r="AA374" i="27"/>
  <c r="Z374" i="27"/>
  <c r="Y374" i="27"/>
  <c r="AA373" i="27"/>
  <c r="Z373" i="27"/>
  <c r="Y373" i="27"/>
  <c r="AA372" i="27"/>
  <c r="Z372" i="27"/>
  <c r="Y372" i="27"/>
  <c r="AA371" i="27"/>
  <c r="Z371" i="27"/>
  <c r="Y371" i="27"/>
  <c r="AA370" i="27"/>
  <c r="Z370" i="27"/>
  <c r="Y370" i="27"/>
  <c r="AA369" i="27"/>
  <c r="Z369" i="27"/>
  <c r="Y369" i="27"/>
  <c r="AA368" i="27"/>
  <c r="Z368" i="27"/>
  <c r="Y368" i="27"/>
  <c r="AA367" i="27"/>
  <c r="Z367" i="27"/>
  <c r="Y367" i="27"/>
  <c r="AA366" i="27"/>
  <c r="Z366" i="27"/>
  <c r="Y366" i="27"/>
  <c r="AA365" i="27"/>
  <c r="Z365" i="27"/>
  <c r="Y365" i="27"/>
  <c r="AA364" i="27"/>
  <c r="Z364" i="27"/>
  <c r="Y364" i="27"/>
  <c r="AA363" i="27"/>
  <c r="Z363" i="27"/>
  <c r="Y363" i="27"/>
  <c r="AA362" i="27"/>
  <c r="Z362" i="27"/>
  <c r="Y362" i="27"/>
  <c r="AA361" i="27"/>
  <c r="Z361" i="27"/>
  <c r="Y361" i="27"/>
  <c r="AA359" i="27"/>
  <c r="Z359" i="27"/>
  <c r="Y359" i="27"/>
  <c r="AA358" i="27"/>
  <c r="Z358" i="27"/>
  <c r="Y358" i="27"/>
  <c r="AA357" i="27"/>
  <c r="Z357" i="27"/>
  <c r="Y357" i="27"/>
  <c r="AA356" i="27"/>
  <c r="Z356" i="27"/>
  <c r="Y356" i="27"/>
  <c r="AA355" i="27"/>
  <c r="Z355" i="27"/>
  <c r="Y355" i="27"/>
  <c r="AA354" i="27"/>
  <c r="Z354" i="27"/>
  <c r="Y354" i="27"/>
  <c r="AA353" i="27"/>
  <c r="Z353" i="27"/>
  <c r="Y353" i="27"/>
  <c r="AA352" i="27"/>
  <c r="Z352" i="27"/>
  <c r="Y352" i="27"/>
  <c r="AA351" i="27"/>
  <c r="Z351" i="27"/>
  <c r="Y351" i="27"/>
  <c r="AA350" i="27"/>
  <c r="Z350" i="27"/>
  <c r="Y350" i="27"/>
  <c r="AA349" i="27"/>
  <c r="Z349" i="27"/>
  <c r="Y349" i="27"/>
  <c r="AA348" i="27"/>
  <c r="Z348" i="27"/>
  <c r="Y348" i="27"/>
  <c r="AA347" i="27"/>
  <c r="Z347" i="27"/>
  <c r="Y347" i="27"/>
  <c r="AA346" i="27"/>
  <c r="Z346" i="27"/>
  <c r="Y346" i="27"/>
  <c r="AA345" i="27"/>
  <c r="Z345" i="27"/>
  <c r="Y345" i="27"/>
  <c r="AA344" i="27"/>
  <c r="Z344" i="27"/>
  <c r="Y344" i="27"/>
  <c r="AA343" i="27"/>
  <c r="Z343" i="27"/>
  <c r="Y343" i="27"/>
  <c r="AA342" i="27"/>
  <c r="Z342" i="27"/>
  <c r="Y342" i="27"/>
  <c r="AA341" i="27"/>
  <c r="Z341" i="27"/>
  <c r="Y341" i="27"/>
  <c r="AA340" i="27"/>
  <c r="Z340" i="27"/>
  <c r="Y340" i="27"/>
  <c r="AA339" i="27"/>
  <c r="Z339" i="27"/>
  <c r="Y339" i="27"/>
  <c r="AA338" i="27"/>
  <c r="Z338" i="27"/>
  <c r="Y338" i="27"/>
  <c r="AA337" i="27"/>
  <c r="Z337" i="27"/>
  <c r="Y337" i="27"/>
  <c r="AA336" i="27"/>
  <c r="Z336" i="27"/>
  <c r="Y336" i="27"/>
  <c r="AA335" i="27"/>
  <c r="Z335" i="27"/>
  <c r="Y335" i="27"/>
  <c r="AA334" i="27"/>
  <c r="Z334" i="27"/>
  <c r="Y334" i="27"/>
  <c r="AA333" i="27"/>
  <c r="Z333" i="27"/>
  <c r="Y333" i="27"/>
  <c r="AA332" i="27"/>
  <c r="Z332" i="27"/>
  <c r="Y332" i="27"/>
  <c r="AA331" i="27"/>
  <c r="Z331" i="27"/>
  <c r="Y331" i="27"/>
  <c r="AA330" i="27"/>
  <c r="Z330" i="27"/>
  <c r="Y330" i="27"/>
  <c r="AA329" i="27"/>
  <c r="Z329" i="27"/>
  <c r="Y329" i="27"/>
  <c r="AA328" i="27"/>
  <c r="Z328" i="27"/>
  <c r="Y328" i="27"/>
  <c r="AA327" i="27"/>
  <c r="Z327" i="27"/>
  <c r="Y327" i="27"/>
  <c r="AA326" i="27"/>
  <c r="Z326" i="27"/>
  <c r="Y326" i="27"/>
  <c r="AA325" i="27"/>
  <c r="Z325" i="27"/>
  <c r="Y325" i="27"/>
  <c r="AA324" i="27"/>
  <c r="Z324" i="27"/>
  <c r="Y324" i="27"/>
  <c r="AA323" i="27"/>
  <c r="Z323" i="27"/>
  <c r="Y323" i="27"/>
  <c r="AA322" i="27"/>
  <c r="Z322" i="27"/>
  <c r="Y322" i="27"/>
  <c r="AA321" i="27"/>
  <c r="Z321" i="27"/>
  <c r="Y321" i="27"/>
  <c r="AA320" i="27"/>
  <c r="Z320" i="27"/>
  <c r="Y320" i="27"/>
  <c r="AA319" i="27"/>
  <c r="Z319" i="27"/>
  <c r="Y319" i="27"/>
  <c r="AA318" i="27"/>
  <c r="Z318" i="27"/>
  <c r="Y318" i="27"/>
  <c r="AA317" i="27"/>
  <c r="Z317" i="27"/>
  <c r="Y317" i="27"/>
  <c r="AA316" i="27"/>
  <c r="Z316" i="27"/>
  <c r="Y316" i="27"/>
  <c r="AA315" i="27"/>
  <c r="Z315" i="27"/>
  <c r="Y315" i="27"/>
  <c r="AA314" i="27"/>
  <c r="Z314" i="27"/>
  <c r="Y314" i="27"/>
  <c r="AA313" i="27"/>
  <c r="Z313" i="27"/>
  <c r="Y313" i="27"/>
  <c r="AA312" i="27"/>
  <c r="Z312" i="27"/>
  <c r="Y312" i="27"/>
  <c r="AA311" i="27"/>
  <c r="Z311" i="27"/>
  <c r="Y311" i="27"/>
  <c r="AA310" i="27"/>
  <c r="Z310" i="27"/>
  <c r="Y310" i="27"/>
  <c r="AA309" i="27"/>
  <c r="Z309" i="27"/>
  <c r="Y309" i="27"/>
  <c r="AA308" i="27"/>
  <c r="Z308" i="27"/>
  <c r="Y308" i="27"/>
  <c r="AA307" i="27"/>
  <c r="Z307" i="27"/>
  <c r="Y307" i="27"/>
  <c r="AA306" i="27"/>
  <c r="Z306" i="27"/>
  <c r="Y306" i="27"/>
  <c r="AA305" i="27"/>
  <c r="Z305" i="27"/>
  <c r="Y305" i="27"/>
  <c r="AA304" i="27"/>
  <c r="Z304" i="27"/>
  <c r="Y304" i="27"/>
  <c r="AA303" i="27"/>
  <c r="Z303" i="27"/>
  <c r="Y303" i="27"/>
  <c r="AA302" i="27"/>
  <c r="Z302" i="27"/>
  <c r="Y302" i="27"/>
  <c r="AA301" i="27"/>
  <c r="Z301" i="27"/>
  <c r="Y301" i="27"/>
  <c r="AA300" i="27"/>
  <c r="Z300" i="27"/>
  <c r="Y300" i="27"/>
  <c r="AA299" i="27"/>
  <c r="Z299" i="27"/>
  <c r="Y299" i="27"/>
  <c r="AA298" i="27"/>
  <c r="Z298" i="27"/>
  <c r="Y298" i="27"/>
  <c r="AA297" i="27"/>
  <c r="Z297" i="27"/>
  <c r="Y297" i="27"/>
  <c r="AA296" i="27"/>
  <c r="Z296" i="27"/>
  <c r="Y296" i="27"/>
  <c r="AA295" i="27"/>
  <c r="Z295" i="27"/>
  <c r="Y295" i="27"/>
  <c r="AA294" i="27"/>
  <c r="Z294" i="27"/>
  <c r="Y294" i="27"/>
  <c r="AA293" i="27"/>
  <c r="Z293" i="27"/>
  <c r="Y293" i="27"/>
  <c r="AA292" i="27"/>
  <c r="Z292" i="27"/>
  <c r="Y292" i="27"/>
  <c r="AA291" i="27"/>
  <c r="Z291" i="27"/>
  <c r="Y291" i="27"/>
  <c r="AA290" i="27"/>
  <c r="Z290" i="27"/>
  <c r="Y290" i="27"/>
  <c r="AA289" i="27"/>
  <c r="Z289" i="27"/>
  <c r="Y289" i="27"/>
  <c r="AA288" i="27"/>
  <c r="Z288" i="27"/>
  <c r="Y288" i="27"/>
  <c r="AA287" i="27"/>
  <c r="Z287" i="27"/>
  <c r="Y287" i="27"/>
  <c r="AA286" i="27"/>
  <c r="Z286" i="27"/>
  <c r="Y286" i="27"/>
  <c r="AA285" i="27"/>
  <c r="Z285" i="27"/>
  <c r="Y285" i="27"/>
  <c r="AA284" i="27"/>
  <c r="Z284" i="27"/>
  <c r="Y284" i="27"/>
  <c r="AA283" i="27"/>
  <c r="Z283" i="27"/>
  <c r="Y283" i="27"/>
  <c r="AA282" i="27"/>
  <c r="Z282" i="27"/>
  <c r="Y282" i="27"/>
  <c r="AA281" i="27"/>
  <c r="Z281" i="27"/>
  <c r="Y281" i="27"/>
  <c r="AA280" i="27"/>
  <c r="Z280" i="27"/>
  <c r="Y280" i="27"/>
  <c r="AA279" i="27"/>
  <c r="Z279" i="27"/>
  <c r="Y279" i="27"/>
  <c r="AA278" i="27"/>
  <c r="Z278" i="27"/>
  <c r="Y278" i="27"/>
  <c r="AA277" i="27"/>
  <c r="Z277" i="27"/>
  <c r="Y277" i="27"/>
  <c r="AA276" i="27"/>
  <c r="Z276" i="27"/>
  <c r="Y276" i="27"/>
  <c r="AA275" i="27"/>
  <c r="Z275" i="27"/>
  <c r="Y275" i="27"/>
  <c r="AA274" i="27"/>
  <c r="Z274" i="27"/>
  <c r="Y274" i="27"/>
  <c r="AA273" i="27"/>
  <c r="Z273" i="27"/>
  <c r="Y273" i="27"/>
  <c r="AA272" i="27"/>
  <c r="Z272" i="27"/>
  <c r="Y272" i="27"/>
  <c r="AA271" i="27"/>
  <c r="Z271" i="27"/>
  <c r="Y271" i="27"/>
  <c r="AA270" i="27"/>
  <c r="Z270" i="27"/>
  <c r="Y270" i="27"/>
  <c r="AA269" i="27"/>
  <c r="Z269" i="27"/>
  <c r="Y269" i="27"/>
  <c r="AA268" i="27"/>
  <c r="Z268" i="27"/>
  <c r="Y268" i="27"/>
  <c r="AA267" i="27"/>
  <c r="Z267" i="27"/>
  <c r="Y267" i="27"/>
  <c r="AA266" i="27"/>
  <c r="Z266" i="27"/>
  <c r="Y266" i="27"/>
  <c r="AA265" i="27"/>
  <c r="Z265" i="27"/>
  <c r="Y265" i="27"/>
  <c r="AA264" i="27"/>
  <c r="Z264" i="27"/>
  <c r="Y264" i="27"/>
  <c r="AA263" i="27"/>
  <c r="Z263" i="27"/>
  <c r="Y263" i="27"/>
  <c r="AA262" i="27"/>
  <c r="Z262" i="27"/>
  <c r="Y262" i="27"/>
  <c r="AA261" i="27"/>
  <c r="Z261" i="27"/>
  <c r="Y261" i="27"/>
  <c r="AA260" i="27"/>
  <c r="Z260" i="27"/>
  <c r="Y260" i="27"/>
  <c r="AA259" i="27"/>
  <c r="Z259" i="27"/>
  <c r="Y259" i="27"/>
  <c r="AA258" i="27"/>
  <c r="Z258" i="27"/>
  <c r="Y258" i="27"/>
  <c r="AA257" i="27"/>
  <c r="Z257" i="27"/>
  <c r="Y257" i="27"/>
  <c r="AA256" i="27"/>
  <c r="Z256" i="27"/>
  <c r="Y256" i="27"/>
  <c r="AA255" i="27"/>
  <c r="Z255" i="27"/>
  <c r="Y255" i="27"/>
  <c r="AA254" i="27"/>
  <c r="Z254" i="27"/>
  <c r="Y254" i="27"/>
  <c r="AA253" i="27"/>
  <c r="Z253" i="27"/>
  <c r="Y253" i="27"/>
  <c r="AA252" i="27"/>
  <c r="Z252" i="27"/>
  <c r="Y252" i="27"/>
  <c r="AA251" i="27"/>
  <c r="Z251" i="27"/>
  <c r="Y251" i="27"/>
  <c r="AA250" i="27"/>
  <c r="Z250" i="27"/>
  <c r="Y250" i="27"/>
  <c r="AA249" i="27"/>
  <c r="Z249" i="27"/>
  <c r="Y249" i="27"/>
  <c r="AA248" i="27"/>
  <c r="Z248" i="27"/>
  <c r="Y248" i="27"/>
  <c r="AA247" i="27"/>
  <c r="Z247" i="27"/>
  <c r="Y247" i="27"/>
  <c r="AA246" i="27"/>
  <c r="Z246" i="27"/>
  <c r="Y246" i="27"/>
  <c r="AA245" i="27"/>
  <c r="Z245" i="27"/>
  <c r="Y245" i="27"/>
  <c r="AA244" i="27"/>
  <c r="Z244" i="27"/>
  <c r="Y244" i="27"/>
  <c r="AA243" i="27"/>
  <c r="Z243" i="27"/>
  <c r="Y243" i="27"/>
  <c r="AA242" i="27"/>
  <c r="Z242" i="27"/>
  <c r="Y242" i="27"/>
  <c r="AA241" i="27"/>
  <c r="Z241" i="27"/>
  <c r="Y241" i="27"/>
  <c r="AA240" i="27"/>
  <c r="Z240" i="27"/>
  <c r="Y240" i="27"/>
  <c r="AA239" i="27"/>
  <c r="Z239" i="27"/>
  <c r="Y239" i="27"/>
  <c r="AA238" i="27"/>
  <c r="Z238" i="27"/>
  <c r="Y238" i="27"/>
  <c r="AA237" i="27"/>
  <c r="Z237" i="27"/>
  <c r="Y237" i="27"/>
  <c r="AA236" i="27"/>
  <c r="Z236" i="27"/>
  <c r="Y236" i="27"/>
  <c r="AA235" i="27"/>
  <c r="Z235" i="27"/>
  <c r="Y235" i="27"/>
  <c r="AA234" i="27"/>
  <c r="Z234" i="27"/>
  <c r="Y234" i="27"/>
  <c r="AA233" i="27"/>
  <c r="Z233" i="27"/>
  <c r="Y233" i="27"/>
  <c r="AA232" i="27"/>
  <c r="Z232" i="27"/>
  <c r="Y232" i="27"/>
  <c r="AA231" i="27"/>
  <c r="Z231" i="27"/>
  <c r="Y231" i="27"/>
  <c r="AA230" i="27"/>
  <c r="Z230" i="27"/>
  <c r="Y230" i="27"/>
  <c r="AA229" i="27"/>
  <c r="Z229" i="27"/>
  <c r="Y229" i="27"/>
  <c r="AA228" i="27"/>
  <c r="Z228" i="27"/>
  <c r="Y228" i="27"/>
  <c r="AA227" i="27"/>
  <c r="Z227" i="27"/>
  <c r="Y227" i="27"/>
  <c r="AA226" i="27"/>
  <c r="Z226" i="27"/>
  <c r="Y226" i="27"/>
  <c r="AA225" i="27"/>
  <c r="Z225" i="27"/>
  <c r="Y225" i="27"/>
  <c r="AA224" i="27"/>
  <c r="Z224" i="27"/>
  <c r="Y224" i="27"/>
  <c r="AA223" i="27"/>
  <c r="Z223" i="27"/>
  <c r="Y223" i="27"/>
  <c r="AA222" i="27"/>
  <c r="Z222" i="27"/>
  <c r="Y222" i="27"/>
  <c r="AA221" i="27"/>
  <c r="Z221" i="27"/>
  <c r="Y221" i="27"/>
  <c r="AA220" i="27"/>
  <c r="Z220" i="27"/>
  <c r="Y220" i="27"/>
  <c r="AA219" i="27"/>
  <c r="Z219" i="27"/>
  <c r="Y219" i="27"/>
  <c r="AA218" i="27"/>
  <c r="Z218" i="27"/>
  <c r="Y218" i="27"/>
  <c r="AA217" i="27"/>
  <c r="Z217" i="27"/>
  <c r="Y217" i="27"/>
  <c r="AA216" i="27"/>
  <c r="Z216" i="27"/>
  <c r="Y216" i="27"/>
  <c r="AA215" i="27"/>
  <c r="Z215" i="27"/>
  <c r="Y215" i="27"/>
  <c r="AA214" i="27"/>
  <c r="Z214" i="27"/>
  <c r="Y214" i="27"/>
  <c r="AA213" i="27"/>
  <c r="Z213" i="27"/>
  <c r="Y213" i="27"/>
  <c r="AA212" i="27"/>
  <c r="Z212" i="27"/>
  <c r="Y212" i="27"/>
  <c r="AA211" i="27"/>
  <c r="Z211" i="27"/>
  <c r="Y211" i="27"/>
  <c r="AA210" i="27"/>
  <c r="Z210" i="27"/>
  <c r="Y210" i="27"/>
  <c r="AA209" i="27"/>
  <c r="Z209" i="27"/>
  <c r="Y209" i="27"/>
  <c r="AA208" i="27"/>
  <c r="Z208" i="27"/>
  <c r="Y208" i="27"/>
  <c r="AA207" i="27"/>
  <c r="Z207" i="27"/>
  <c r="Y207" i="27"/>
  <c r="AA206" i="27"/>
  <c r="Z206" i="27"/>
  <c r="Y206" i="27"/>
  <c r="AA205" i="27"/>
  <c r="Z205" i="27"/>
  <c r="Y205" i="27"/>
  <c r="AA204" i="27"/>
  <c r="Z204" i="27"/>
  <c r="Y204" i="27"/>
  <c r="AA203" i="27"/>
  <c r="Z203" i="27"/>
  <c r="Y203" i="27"/>
  <c r="AA202" i="27"/>
  <c r="Z202" i="27"/>
  <c r="Y202" i="27"/>
  <c r="AA201" i="27"/>
  <c r="Z201" i="27"/>
  <c r="Y201" i="27"/>
  <c r="AA200" i="27"/>
  <c r="Z200" i="27"/>
  <c r="Y200" i="27"/>
  <c r="AA199" i="27"/>
  <c r="Z199" i="27"/>
  <c r="Y199" i="27"/>
  <c r="AA198" i="27"/>
  <c r="Z198" i="27"/>
  <c r="Y198" i="27"/>
  <c r="AA197" i="27"/>
  <c r="Z197" i="27"/>
  <c r="Y197" i="27"/>
  <c r="AA196" i="27"/>
  <c r="Z196" i="27"/>
  <c r="Y196" i="27"/>
  <c r="AA195" i="27"/>
  <c r="Z195" i="27"/>
  <c r="Y195" i="27"/>
  <c r="AA194" i="27"/>
  <c r="Z194" i="27"/>
  <c r="Y194" i="27"/>
  <c r="AA193" i="27"/>
  <c r="Z193" i="27"/>
  <c r="Y193" i="27"/>
  <c r="AA192" i="27"/>
  <c r="Z192" i="27"/>
  <c r="Y192" i="27"/>
  <c r="AA191" i="27"/>
  <c r="Z191" i="27"/>
  <c r="Y191" i="27"/>
  <c r="AA190" i="27"/>
  <c r="Z190" i="27"/>
  <c r="Y190" i="27"/>
  <c r="AA189" i="27"/>
  <c r="Z189" i="27"/>
  <c r="Y189" i="27"/>
  <c r="AA188" i="27"/>
  <c r="Z188" i="27"/>
  <c r="Y188" i="27"/>
  <c r="AA187" i="27"/>
  <c r="Z187" i="27"/>
  <c r="Y187" i="27"/>
  <c r="AA186" i="27"/>
  <c r="Z186" i="27"/>
  <c r="Y186" i="27"/>
  <c r="AA185" i="27"/>
  <c r="Z185" i="27"/>
  <c r="Y185" i="27"/>
  <c r="AA184" i="27"/>
  <c r="Z184" i="27"/>
  <c r="Y184" i="27"/>
  <c r="AA183" i="27"/>
  <c r="Z183" i="27"/>
  <c r="Y183" i="27"/>
  <c r="AA182" i="27"/>
  <c r="Z182" i="27"/>
  <c r="Y182" i="27"/>
  <c r="AA181" i="27"/>
  <c r="Z181" i="27"/>
  <c r="Y181" i="27"/>
  <c r="AA180" i="27"/>
  <c r="Z180" i="27"/>
  <c r="Y180" i="27"/>
  <c r="AA179" i="27"/>
  <c r="Z179" i="27"/>
  <c r="Y179" i="27"/>
  <c r="AA178" i="27"/>
  <c r="Z178" i="27"/>
  <c r="Y178" i="27"/>
  <c r="AA177" i="27"/>
  <c r="Z177" i="27"/>
  <c r="Y177" i="27"/>
  <c r="AA176" i="27"/>
  <c r="Z176" i="27"/>
  <c r="Y176" i="27"/>
  <c r="AA175" i="27"/>
  <c r="Z175" i="27"/>
  <c r="Y175" i="27"/>
  <c r="AA174" i="27"/>
  <c r="Z174" i="27"/>
  <c r="Y174" i="27"/>
  <c r="AA173" i="27"/>
  <c r="Z173" i="27"/>
  <c r="Y173" i="27"/>
  <c r="AA172" i="27"/>
  <c r="Z172" i="27"/>
  <c r="Y172" i="27"/>
  <c r="AA171" i="27"/>
  <c r="Z171" i="27"/>
  <c r="Y171" i="27"/>
  <c r="AA170" i="27"/>
  <c r="Z170" i="27"/>
  <c r="Y170" i="27"/>
  <c r="AA169" i="27"/>
  <c r="Z169" i="27"/>
  <c r="Y169" i="27"/>
  <c r="AA168" i="27"/>
  <c r="Z168" i="27"/>
  <c r="Y168" i="27"/>
  <c r="AA167" i="27"/>
  <c r="Z167" i="27"/>
  <c r="Y167" i="27"/>
  <c r="AA166" i="27"/>
  <c r="Z166" i="27"/>
  <c r="Y166" i="27"/>
  <c r="AA165" i="27"/>
  <c r="Z165" i="27"/>
  <c r="Y165" i="27"/>
  <c r="AA164" i="27"/>
  <c r="Z164" i="27"/>
  <c r="Y164" i="27"/>
  <c r="AA163" i="27"/>
  <c r="Z163" i="27"/>
  <c r="Y163" i="27"/>
  <c r="AA162" i="27"/>
  <c r="Z162" i="27"/>
  <c r="Y162" i="27"/>
  <c r="AA161" i="27"/>
  <c r="Z161" i="27"/>
  <c r="Y161" i="27"/>
  <c r="AA160" i="27"/>
  <c r="Z160" i="27"/>
  <c r="Y160" i="27"/>
  <c r="AA159" i="27"/>
  <c r="Z159" i="27"/>
  <c r="Y159" i="27"/>
  <c r="AA158" i="27"/>
  <c r="Z158" i="27"/>
  <c r="Y158" i="27"/>
  <c r="AA157" i="27"/>
  <c r="Z157" i="27"/>
  <c r="Y157" i="27"/>
  <c r="AA156" i="27"/>
  <c r="Z156" i="27"/>
  <c r="Y156" i="27"/>
  <c r="AA155" i="27"/>
  <c r="Z155" i="27"/>
  <c r="Y155" i="27"/>
  <c r="AA154" i="27"/>
  <c r="Z154" i="27"/>
  <c r="Y154" i="27"/>
  <c r="AA153" i="27"/>
  <c r="Z153" i="27"/>
  <c r="Y153" i="27"/>
  <c r="AA152" i="27"/>
  <c r="Z152" i="27"/>
  <c r="Y152" i="27"/>
  <c r="AA151" i="27"/>
  <c r="Z151" i="27"/>
  <c r="Y151" i="27"/>
  <c r="AA150" i="27"/>
  <c r="Z150" i="27"/>
  <c r="Y150" i="27"/>
  <c r="AA149" i="27"/>
  <c r="Z149" i="27"/>
  <c r="Y149" i="27"/>
  <c r="AA148" i="27"/>
  <c r="Z148" i="27"/>
  <c r="Y148" i="27"/>
  <c r="AA147" i="27"/>
  <c r="Z147" i="27"/>
  <c r="Y147" i="27"/>
  <c r="AA146" i="27"/>
  <c r="Z146" i="27"/>
  <c r="Y146" i="27"/>
  <c r="AA145" i="27"/>
  <c r="Z145" i="27"/>
  <c r="Y145" i="27"/>
  <c r="AA144" i="27"/>
  <c r="Z144" i="27"/>
  <c r="Y144" i="27"/>
  <c r="AA143" i="27"/>
  <c r="Z143" i="27"/>
  <c r="Y143" i="27"/>
  <c r="AA142" i="27"/>
  <c r="Z142" i="27"/>
  <c r="Y142" i="27"/>
  <c r="AA141" i="27"/>
  <c r="Z141" i="27"/>
  <c r="Y141" i="27"/>
  <c r="AA140" i="27"/>
  <c r="Z140" i="27"/>
  <c r="Y140" i="27"/>
  <c r="AA139" i="27"/>
  <c r="Z139" i="27"/>
  <c r="Y139" i="27"/>
  <c r="AA138" i="27"/>
  <c r="Z138" i="27"/>
  <c r="Y138" i="27"/>
  <c r="AA137" i="27"/>
  <c r="Z137" i="27"/>
  <c r="Y137" i="27"/>
  <c r="AA136" i="27"/>
  <c r="Z136" i="27"/>
  <c r="Y136" i="27"/>
  <c r="AA135" i="27"/>
  <c r="Z135" i="27"/>
  <c r="Y135" i="27"/>
  <c r="AA134" i="27"/>
  <c r="Z134" i="27"/>
  <c r="Y134" i="27"/>
  <c r="AA133" i="27"/>
  <c r="Z133" i="27"/>
  <c r="Y133" i="27"/>
  <c r="AA132" i="27"/>
  <c r="Z132" i="27"/>
  <c r="Y132" i="27"/>
  <c r="AA131" i="27"/>
  <c r="Z131" i="27"/>
  <c r="Y131" i="27"/>
  <c r="AA130" i="27"/>
  <c r="Z130" i="27"/>
  <c r="Y130" i="27"/>
  <c r="AA129" i="27"/>
  <c r="Z129" i="27"/>
  <c r="Y129" i="27"/>
  <c r="AA128" i="27"/>
  <c r="Z128" i="27"/>
  <c r="Y128" i="27"/>
  <c r="AA127" i="27"/>
  <c r="Z127" i="27"/>
  <c r="Y127" i="27"/>
  <c r="AA126" i="27"/>
  <c r="Z126" i="27"/>
  <c r="Y126" i="27"/>
  <c r="AA125" i="27"/>
  <c r="Z125" i="27"/>
  <c r="Y125" i="27"/>
  <c r="AA124" i="27"/>
  <c r="Z124" i="27"/>
  <c r="Y124" i="27"/>
  <c r="AA123" i="27"/>
  <c r="Z123" i="27"/>
  <c r="Y123" i="27"/>
  <c r="AA122" i="27"/>
  <c r="Z122" i="27"/>
  <c r="Y122" i="27"/>
  <c r="AA121" i="27"/>
  <c r="Z121" i="27"/>
  <c r="Y121" i="27"/>
  <c r="AA120" i="27"/>
  <c r="Z120" i="27"/>
  <c r="Y120" i="27"/>
  <c r="AA119" i="27"/>
  <c r="Z119" i="27"/>
  <c r="Y119" i="27"/>
  <c r="AA118" i="27"/>
  <c r="Z118" i="27"/>
  <c r="Y118" i="27"/>
  <c r="AA117" i="27"/>
  <c r="Z117" i="27"/>
  <c r="Y117" i="27"/>
  <c r="AA116" i="27"/>
  <c r="Z116" i="27"/>
  <c r="Y116" i="27"/>
  <c r="AA115" i="27"/>
  <c r="Z115" i="27"/>
  <c r="Y115" i="27"/>
  <c r="AA114" i="27"/>
  <c r="Z114" i="27"/>
  <c r="Y114" i="27"/>
  <c r="AA113" i="27"/>
  <c r="Z113" i="27"/>
  <c r="Y113" i="27"/>
  <c r="AA112" i="27"/>
  <c r="Z112" i="27"/>
  <c r="Y112" i="27"/>
  <c r="AA111" i="27"/>
  <c r="Z111" i="27"/>
  <c r="Y111" i="27"/>
  <c r="AA110" i="27"/>
  <c r="Z110" i="27"/>
  <c r="Y110" i="27"/>
  <c r="AA109" i="27"/>
  <c r="Z109" i="27"/>
  <c r="Y109" i="27"/>
  <c r="AA108" i="27"/>
  <c r="Z108" i="27"/>
  <c r="Y108" i="27"/>
  <c r="AA107" i="27"/>
  <c r="Z107" i="27"/>
  <c r="Y107" i="27"/>
  <c r="AA106" i="27"/>
  <c r="Z106" i="27"/>
  <c r="Y106" i="27"/>
  <c r="AA105" i="27"/>
  <c r="Z105" i="27"/>
  <c r="Y105" i="27"/>
  <c r="AA104" i="27"/>
  <c r="Z104" i="27"/>
  <c r="Y104" i="27"/>
  <c r="AA103" i="27"/>
  <c r="Z103" i="27"/>
  <c r="Y103" i="27"/>
  <c r="AA102" i="27"/>
  <c r="Z102" i="27"/>
  <c r="Y102" i="27"/>
  <c r="AA101" i="27"/>
  <c r="Z101" i="27"/>
  <c r="Y101" i="27"/>
  <c r="AA100" i="27"/>
  <c r="Z100" i="27"/>
  <c r="Y100" i="27"/>
  <c r="AA99" i="27"/>
  <c r="Z99" i="27"/>
  <c r="Y99" i="27"/>
  <c r="AA98" i="27"/>
  <c r="Z98" i="27"/>
  <c r="Y98" i="27"/>
  <c r="AA97" i="27"/>
  <c r="Z97" i="27"/>
  <c r="Y97" i="27"/>
  <c r="AA96" i="27"/>
  <c r="Z96" i="27"/>
  <c r="Y96" i="27"/>
  <c r="AA95" i="27"/>
  <c r="Z95" i="27"/>
  <c r="Y95" i="27"/>
  <c r="AA94" i="27"/>
  <c r="Z94" i="27"/>
  <c r="Y94" i="27"/>
  <c r="AA93" i="27"/>
  <c r="Z93" i="27"/>
  <c r="Y93" i="27"/>
  <c r="AA92" i="27"/>
  <c r="Z92" i="27"/>
  <c r="Y92" i="27"/>
  <c r="AA91" i="27"/>
  <c r="Z91" i="27"/>
  <c r="Y91" i="27"/>
  <c r="AA90" i="27"/>
  <c r="Z90" i="27"/>
  <c r="Y90" i="27"/>
  <c r="AA89" i="27"/>
  <c r="Z89" i="27"/>
  <c r="Y89" i="27"/>
  <c r="AA88" i="27"/>
  <c r="Z88" i="27"/>
  <c r="Y88" i="27"/>
  <c r="AA87" i="27"/>
  <c r="Z87" i="27"/>
  <c r="Y87" i="27"/>
  <c r="AA86" i="27"/>
  <c r="Z86" i="27"/>
  <c r="Y86" i="27"/>
  <c r="AA81" i="27"/>
  <c r="Z81" i="27"/>
  <c r="Y81" i="27"/>
  <c r="AA79" i="27"/>
  <c r="Z79" i="27"/>
  <c r="Y79" i="27"/>
  <c r="AA77" i="27"/>
  <c r="Z77" i="27"/>
  <c r="Y77" i="27"/>
  <c r="AA69" i="27"/>
  <c r="Z69" i="27"/>
  <c r="Y69" i="27"/>
  <c r="AA67" i="27"/>
  <c r="Z67" i="27"/>
  <c r="Y67" i="27"/>
  <c r="AA66" i="27"/>
  <c r="Z66" i="27"/>
  <c r="Y66" i="27"/>
  <c r="AA65" i="27"/>
  <c r="Z65" i="27"/>
  <c r="Y65" i="27"/>
  <c r="AA64" i="27"/>
  <c r="Z64" i="27"/>
  <c r="Y64" i="27"/>
  <c r="AA63" i="27"/>
  <c r="Z63" i="27"/>
  <c r="Y63" i="27"/>
  <c r="AA62" i="27"/>
  <c r="Z62" i="27"/>
  <c r="Y62" i="27"/>
  <c r="AA61" i="27"/>
  <c r="Z61" i="27"/>
  <c r="Y61" i="27"/>
  <c r="AA60" i="27"/>
  <c r="Z60" i="27"/>
  <c r="Y60" i="27"/>
  <c r="AA59" i="27"/>
  <c r="Z59" i="27"/>
  <c r="Y59" i="27"/>
  <c r="AA58" i="27"/>
  <c r="Z58" i="27"/>
  <c r="Y58" i="27"/>
  <c r="AA57" i="27"/>
  <c r="Z57" i="27"/>
  <c r="Y57" i="27"/>
  <c r="AA56" i="27"/>
  <c r="Z56" i="27"/>
  <c r="Y56" i="27"/>
  <c r="AA55" i="27"/>
  <c r="Z55" i="27"/>
  <c r="Y55" i="27"/>
  <c r="AA54" i="27"/>
  <c r="Z54" i="27"/>
  <c r="Y54" i="27"/>
  <c r="AA53" i="27"/>
  <c r="Z53" i="27"/>
  <c r="Y53" i="27"/>
  <c r="AA49" i="27"/>
  <c r="Z49" i="27"/>
  <c r="Y49" i="27"/>
  <c r="AA48" i="27"/>
  <c r="Z48" i="27"/>
  <c r="Y48" i="27"/>
  <c r="AA47" i="27"/>
  <c r="Z47" i="27"/>
  <c r="Y47" i="27"/>
  <c r="AA46" i="27"/>
  <c r="Z46" i="27"/>
  <c r="Y46" i="27"/>
  <c r="AA45" i="27"/>
  <c r="Z45" i="27"/>
  <c r="Y45" i="27"/>
  <c r="AA44" i="27"/>
  <c r="Z44" i="27"/>
  <c r="Y44" i="27"/>
  <c r="AA43" i="27"/>
  <c r="Z43" i="27"/>
  <c r="Y43" i="27"/>
  <c r="AA42" i="27"/>
  <c r="Z42" i="27"/>
  <c r="Y42" i="27"/>
  <c r="AA41" i="27"/>
  <c r="Z41" i="27"/>
  <c r="Y41" i="27"/>
  <c r="AA40" i="27"/>
  <c r="Z40" i="27"/>
  <c r="Y40" i="27"/>
  <c r="AA39" i="27"/>
  <c r="Z39" i="27"/>
  <c r="Y39" i="27"/>
  <c r="AA38" i="27"/>
  <c r="Z38" i="27"/>
  <c r="Y38" i="27"/>
  <c r="AA37" i="27"/>
  <c r="Z37" i="27"/>
  <c r="Y37" i="27"/>
  <c r="AA36" i="27"/>
  <c r="Z36" i="27"/>
  <c r="Y36" i="27"/>
  <c r="AA35" i="27"/>
  <c r="Z35" i="27"/>
  <c r="Y35" i="27"/>
  <c r="AA34" i="27"/>
  <c r="Z34" i="27"/>
  <c r="Y34" i="27"/>
  <c r="AA33" i="27"/>
  <c r="Z33" i="27"/>
  <c r="Y33" i="27"/>
  <c r="AA32" i="27"/>
  <c r="Z32" i="27"/>
  <c r="Y32" i="27"/>
  <c r="AA31" i="27"/>
  <c r="Z31" i="27"/>
  <c r="Y31" i="27"/>
  <c r="AA30" i="27"/>
  <c r="Z30" i="27"/>
  <c r="Y30" i="27"/>
  <c r="AA29" i="27"/>
  <c r="Z29" i="27"/>
  <c r="Y29" i="27"/>
  <c r="AA28" i="27"/>
  <c r="Z28" i="27"/>
  <c r="Y28" i="27"/>
  <c r="AA27" i="27"/>
  <c r="Z27" i="27"/>
  <c r="Y27" i="27"/>
  <c r="AA25" i="27"/>
  <c r="Z25" i="27"/>
  <c r="Y25" i="27"/>
  <c r="AA24" i="27"/>
  <c r="Z24" i="27"/>
  <c r="Y24" i="27"/>
  <c r="AA23" i="27"/>
  <c r="Z23" i="27"/>
  <c r="Y23" i="27"/>
  <c r="AA22" i="27"/>
  <c r="Z22" i="27"/>
  <c r="Y22" i="27"/>
  <c r="AA21" i="27"/>
  <c r="Z21" i="27"/>
  <c r="Y21" i="27"/>
  <c r="AA20" i="27"/>
  <c r="Z20" i="27"/>
  <c r="Y20" i="27"/>
  <c r="AA19" i="27"/>
  <c r="Z19" i="27"/>
  <c r="Y19" i="27"/>
  <c r="AA16" i="27"/>
  <c r="Z16" i="27"/>
  <c r="Y16" i="27"/>
  <c r="AA15" i="27"/>
  <c r="Z15" i="27"/>
  <c r="Y15" i="27"/>
  <c r="AA13" i="27"/>
  <c r="Z13" i="27"/>
  <c r="Y13" i="27"/>
  <c r="AA10" i="27"/>
  <c r="Z10" i="27"/>
  <c r="Y10" i="27"/>
  <c r="AA8" i="27"/>
  <c r="Z8" i="27"/>
  <c r="Y8" i="27"/>
  <c r="AA7" i="27"/>
  <c r="Z7" i="27"/>
  <c r="Y7" i="27"/>
  <c r="AA6" i="27"/>
  <c r="Z6" i="27"/>
  <c r="Y6" i="27"/>
  <c r="AA5" i="27"/>
  <c r="Z5" i="27"/>
  <c r="Y5" i="27"/>
  <c r="AA4" i="27"/>
  <c r="Z4" i="27"/>
  <c r="Y4" i="27"/>
  <c r="Q459" i="27"/>
  <c r="R459" i="27"/>
  <c r="H55" i="17"/>
  <c r="O19" i="17"/>
  <c r="O18" i="17"/>
  <c r="L6" i="25"/>
  <c r="M6" i="25"/>
  <c r="N6" i="25"/>
  <c r="K6" i="25"/>
  <c r="K7" i="25"/>
  <c r="L7" i="25"/>
  <c r="M7" i="25"/>
  <c r="N7" i="25"/>
  <c r="K8" i="25"/>
  <c r="L8" i="25"/>
  <c r="M8" i="25"/>
  <c r="N8" i="25"/>
  <c r="K9" i="25"/>
  <c r="L9" i="25"/>
  <c r="M9" i="25"/>
  <c r="N9" i="25"/>
  <c r="K10" i="25"/>
  <c r="L10" i="25"/>
  <c r="M10" i="25"/>
  <c r="N10" i="25"/>
  <c r="K11" i="25"/>
  <c r="L11" i="25"/>
  <c r="M11" i="25"/>
  <c r="N11" i="25"/>
  <c r="K12" i="25"/>
  <c r="L12" i="25"/>
  <c r="M12" i="25"/>
  <c r="N12" i="25"/>
  <c r="K13" i="25"/>
  <c r="L13" i="25"/>
  <c r="M13" i="25"/>
  <c r="N13" i="25"/>
  <c r="K14" i="25"/>
  <c r="L14" i="25"/>
  <c r="M14" i="25"/>
  <c r="N14" i="25"/>
  <c r="K15" i="25"/>
  <c r="L15" i="25"/>
  <c r="M15" i="25"/>
  <c r="N15" i="25"/>
  <c r="K16" i="25"/>
  <c r="L16" i="25"/>
  <c r="M16" i="25"/>
  <c r="N16" i="25"/>
  <c r="K17" i="25"/>
  <c r="L17" i="25"/>
  <c r="M17" i="25"/>
  <c r="N17" i="25"/>
  <c r="K18" i="25"/>
  <c r="L18" i="25"/>
  <c r="M18" i="25"/>
  <c r="N18" i="25"/>
  <c r="K19" i="25"/>
  <c r="L19" i="25"/>
  <c r="M19" i="25"/>
  <c r="N19" i="25"/>
  <c r="K20" i="25"/>
  <c r="L20" i="25"/>
  <c r="M20" i="25"/>
  <c r="N20" i="25"/>
  <c r="K21" i="25"/>
  <c r="L21" i="25"/>
  <c r="M21" i="25"/>
  <c r="N21" i="25"/>
  <c r="K22" i="25"/>
  <c r="L22" i="25"/>
  <c r="M22" i="25"/>
  <c r="N22" i="25"/>
  <c r="K23" i="25"/>
  <c r="L23" i="25"/>
  <c r="M23" i="25"/>
  <c r="N23" i="25"/>
  <c r="K24" i="25"/>
  <c r="L24" i="25"/>
  <c r="M24" i="25"/>
  <c r="N24" i="25"/>
  <c r="K25" i="25"/>
  <c r="L25" i="25"/>
  <c r="M25" i="25"/>
  <c r="N25" i="25"/>
  <c r="K26" i="25"/>
  <c r="L26" i="25"/>
  <c r="M26" i="25"/>
  <c r="N26" i="25"/>
  <c r="K27" i="25"/>
  <c r="L27" i="25"/>
  <c r="M27" i="25"/>
  <c r="N27" i="25"/>
  <c r="K28" i="25"/>
  <c r="L28" i="25"/>
  <c r="M28" i="25"/>
  <c r="N28" i="25"/>
  <c r="K29" i="25"/>
  <c r="L29" i="25"/>
  <c r="M29" i="25"/>
  <c r="N29" i="25"/>
  <c r="K30" i="25"/>
  <c r="L30" i="25"/>
  <c r="M30" i="25"/>
  <c r="N30" i="25"/>
  <c r="K31" i="25"/>
  <c r="L31" i="25"/>
  <c r="M31" i="25"/>
  <c r="N31" i="25"/>
  <c r="K32" i="25"/>
  <c r="L32" i="25"/>
  <c r="M32" i="25"/>
  <c r="N32" i="25"/>
  <c r="K33" i="25"/>
  <c r="L33" i="25"/>
  <c r="M33" i="25"/>
  <c r="N33" i="25"/>
  <c r="K34" i="25"/>
  <c r="L34" i="25"/>
  <c r="M34" i="25"/>
  <c r="N34" i="25"/>
  <c r="K35" i="25"/>
  <c r="L35" i="25"/>
  <c r="M35" i="25"/>
  <c r="N35" i="25"/>
  <c r="K36" i="25"/>
  <c r="L36" i="25"/>
  <c r="M36" i="25"/>
  <c r="N36" i="25"/>
  <c r="K37" i="25"/>
  <c r="L37" i="25"/>
  <c r="M37" i="25"/>
  <c r="N37" i="25"/>
  <c r="K38" i="25"/>
  <c r="L38" i="25"/>
  <c r="M38" i="25"/>
  <c r="N38" i="25"/>
  <c r="K39" i="25"/>
  <c r="L39" i="25"/>
  <c r="M39" i="25"/>
  <c r="N39" i="25"/>
  <c r="K40" i="25"/>
  <c r="L40" i="25"/>
  <c r="M40" i="25"/>
  <c r="N40" i="25"/>
  <c r="K41" i="25"/>
  <c r="L41" i="25"/>
  <c r="M41" i="25"/>
  <c r="N41" i="25"/>
  <c r="K42" i="25"/>
  <c r="L42" i="25"/>
  <c r="M42" i="25"/>
  <c r="N42" i="25"/>
  <c r="K43" i="25"/>
  <c r="L43" i="25"/>
  <c r="M43" i="25"/>
  <c r="N43" i="25"/>
  <c r="F7" i="25"/>
  <c r="F8" i="25"/>
  <c r="F9" i="25"/>
  <c r="F12" i="25"/>
  <c r="F13" i="25"/>
  <c r="F14" i="25"/>
  <c r="F15" i="25"/>
  <c r="F17" i="25"/>
  <c r="F22" i="25"/>
  <c r="F24" i="25"/>
  <c r="F26" i="25"/>
  <c r="F29" i="25"/>
  <c r="F30" i="25"/>
  <c r="F34" i="25"/>
  <c r="F36" i="25"/>
  <c r="F37" i="25"/>
  <c r="F39" i="25"/>
  <c r="E17" i="25"/>
  <c r="B3" i="25"/>
  <c r="E5" i="17"/>
  <c r="G5" i="17" s="1"/>
  <c r="J5" i="17" s="1"/>
  <c r="E12" i="17"/>
  <c r="G12" i="17" s="1"/>
  <c r="J12" i="17" s="1"/>
  <c r="E51" i="17"/>
  <c r="G51" i="17" s="1"/>
  <c r="J51" i="17" s="1"/>
  <c r="E19" i="17"/>
  <c r="G19" i="17" s="1"/>
  <c r="J19" i="17" s="1"/>
  <c r="E21" i="17"/>
  <c r="G21" i="17" s="1"/>
  <c r="E33" i="17"/>
  <c r="G33" i="17" s="1"/>
  <c r="E31" i="17"/>
  <c r="G31" i="17" s="1"/>
  <c r="J31" i="17" s="1"/>
  <c r="E22" i="17"/>
  <c r="G22" i="17" s="1"/>
  <c r="E37" i="17"/>
  <c r="G37" i="17" s="1"/>
  <c r="E29" i="17"/>
  <c r="G29" i="17" s="1"/>
  <c r="E38" i="17"/>
  <c r="G38" i="17" s="1"/>
  <c r="J38" i="17" s="1"/>
  <c r="E9" i="17"/>
  <c r="G9" i="17" s="1"/>
  <c r="J9" i="17" s="1"/>
  <c r="E35" i="17"/>
  <c r="G35" i="17" s="1"/>
  <c r="J35" i="17" s="1"/>
  <c r="E30" i="17"/>
  <c r="G30" i="17" s="1"/>
  <c r="J30" i="17" s="1"/>
  <c r="E11" i="17"/>
  <c r="G11" i="17" s="1"/>
  <c r="J11" i="17" s="1"/>
  <c r="E7" i="17"/>
  <c r="G7" i="17" s="1"/>
  <c r="J7" i="17" s="1"/>
  <c r="E8" i="17"/>
  <c r="G8" i="17" s="1"/>
  <c r="J8" i="17" s="1"/>
  <c r="E28" i="17"/>
  <c r="G28" i="17" s="1"/>
  <c r="J28" i="17" s="1"/>
  <c r="E10" i="17"/>
  <c r="G10" i="17" s="1"/>
  <c r="J10" i="17" s="1"/>
  <c r="E16" i="17"/>
  <c r="E6" i="17"/>
  <c r="G6" i="17" s="1"/>
  <c r="J6" i="17" s="1"/>
  <c r="E18" i="17"/>
  <c r="G18" i="17" s="1"/>
  <c r="E17" i="17"/>
  <c r="G17" i="17" s="1"/>
  <c r="J17" i="17" s="1"/>
  <c r="E24" i="17"/>
  <c r="G24" i="17" s="1"/>
  <c r="J24" i="17" s="1"/>
  <c r="E26" i="17"/>
  <c r="G26" i="17" s="1"/>
  <c r="J26" i="17" s="1"/>
  <c r="E23" i="17"/>
  <c r="G23" i="17" s="1"/>
  <c r="J23" i="17" s="1"/>
  <c r="E32" i="17"/>
  <c r="G32" i="17" s="1"/>
  <c r="J32" i="17" s="1"/>
  <c r="E25" i="17"/>
  <c r="G25" i="17" s="1"/>
  <c r="J25" i="17" s="1"/>
  <c r="E15" i="17"/>
  <c r="G15" i="17" s="1"/>
  <c r="E13" i="17"/>
  <c r="G13" i="17" s="1"/>
  <c r="J13" i="17" s="1"/>
  <c r="E20" i="17"/>
  <c r="G20" i="17" s="1"/>
  <c r="E54" i="17"/>
  <c r="G54" i="17" s="1"/>
  <c r="J54" i="17" s="1"/>
  <c r="E27" i="17"/>
  <c r="G27" i="17" s="1"/>
  <c r="J27" i="17" s="1"/>
  <c r="E36" i="17"/>
  <c r="G36" i="17" s="1"/>
  <c r="J36" i="17" s="1"/>
  <c r="E14" i="17"/>
  <c r="G14" i="17" s="1"/>
  <c r="J14" i="17" s="1"/>
  <c r="F11" i="25"/>
  <c r="F16" i="25"/>
  <c r="E16" i="25"/>
  <c r="E24" i="25"/>
  <c r="E22" i="25"/>
  <c r="I22" i="25" s="1"/>
  <c r="F55" i="17"/>
  <c r="O51" i="17"/>
  <c r="O20" i="17"/>
  <c r="O28" i="17"/>
  <c r="O26" i="17"/>
  <c r="O24" i="17"/>
  <c r="O16" i="17"/>
  <c r="O27" i="17"/>
  <c r="O8" i="17"/>
  <c r="O33" i="17"/>
  <c r="O53" i="17"/>
  <c r="O21" i="17"/>
  <c r="O54" i="17"/>
  <c r="O32" i="17"/>
  <c r="O14" i="17"/>
  <c r="O25" i="17"/>
  <c r="O15" i="17"/>
  <c r="O11" i="17"/>
  <c r="O5" i="17"/>
  <c r="O30" i="17"/>
  <c r="O35" i="17"/>
  <c r="O6" i="17"/>
  <c r="O10" i="17"/>
  <c r="O9" i="17"/>
  <c r="O23" i="17"/>
  <c r="O31" i="17"/>
  <c r="O7" i="17"/>
  <c r="O22" i="17"/>
  <c r="O36" i="17"/>
  <c r="O37" i="17"/>
  <c r="O38" i="17"/>
  <c r="O17" i="17"/>
  <c r="O29" i="17"/>
  <c r="O13" i="17"/>
  <c r="K30" i="17"/>
  <c r="U30" i="17" s="1"/>
  <c r="K36" i="17"/>
  <c r="U36" i="17" s="1"/>
  <c r="K51" i="17"/>
  <c r="U51" i="17" s="1"/>
  <c r="K13" i="17"/>
  <c r="U13" i="17" s="1"/>
  <c r="K15" i="17"/>
  <c r="U15" i="17" s="1"/>
  <c r="K22" i="17"/>
  <c r="U22" i="17" s="1"/>
  <c r="K23" i="17"/>
  <c r="U23" i="17" s="1"/>
  <c r="K54" i="17"/>
  <c r="U54" i="17" s="1"/>
  <c r="K8" i="17"/>
  <c r="U8" i="17" s="1"/>
  <c r="K16" i="17"/>
  <c r="U16" i="17" s="1"/>
  <c r="K35" i="17"/>
  <c r="U35" i="17" s="1"/>
  <c r="K26" i="17"/>
  <c r="U26" i="17" s="1"/>
  <c r="K37" i="17"/>
  <c r="U37" i="17" s="1"/>
  <c r="K7" i="17"/>
  <c r="U7" i="17" s="1"/>
  <c r="K20" i="17"/>
  <c r="U20" i="17" s="1"/>
  <c r="K19" i="17"/>
  <c r="U19" i="17" s="1"/>
  <c r="K38" i="17"/>
  <c r="U38" i="17" s="1"/>
  <c r="K32" i="17"/>
  <c r="U32" i="17" s="1"/>
  <c r="K18" i="17"/>
  <c r="U18" i="17" s="1"/>
  <c r="K17" i="17"/>
  <c r="U17" i="17" s="1"/>
  <c r="K33" i="17"/>
  <c r="U33" i="17" s="1"/>
  <c r="K21" i="17"/>
  <c r="U21" i="17" s="1"/>
  <c r="K29" i="17"/>
  <c r="U29" i="17" s="1"/>
  <c r="K53" i="17"/>
  <c r="U53" i="17" s="1"/>
  <c r="K27" i="17"/>
  <c r="U27" i="17" s="1"/>
  <c r="K12" i="17"/>
  <c r="U12" i="17" s="1"/>
  <c r="K14" i="17"/>
  <c r="U14" i="17" s="1"/>
  <c r="K25" i="17"/>
  <c r="U25" i="17" s="1"/>
  <c r="K24" i="17"/>
  <c r="U24" i="17" s="1"/>
  <c r="K6" i="17"/>
  <c r="U6" i="17" s="1"/>
  <c r="K31" i="17"/>
  <c r="U31" i="17" s="1"/>
  <c r="K11" i="17"/>
  <c r="U11" i="17" s="1"/>
  <c r="E53" i="17"/>
  <c r="G53" i="17" s="1"/>
  <c r="J53" i="17" s="1"/>
  <c r="K10" i="17"/>
  <c r="U10" i="17" s="1"/>
  <c r="K28" i="17"/>
  <c r="U28" i="17" s="1"/>
  <c r="K9" i="17"/>
  <c r="U9" i="17" s="1"/>
  <c r="O12" i="17"/>
  <c r="E8" i="20"/>
  <c r="E7" i="20"/>
  <c r="Z52" i="17" l="1"/>
  <c r="U52" i="17"/>
  <c r="Z33" i="17"/>
  <c r="I20" i="17"/>
  <c r="J20" i="17"/>
  <c r="Z5" i="17"/>
  <c r="Z17" i="17"/>
  <c r="Z13" i="17"/>
  <c r="Z18" i="17"/>
  <c r="I15" i="17"/>
  <c r="J15" i="17"/>
  <c r="Z38" i="17"/>
  <c r="I29" i="17"/>
  <c r="J29" i="17"/>
  <c r="Z31" i="17"/>
  <c r="I37" i="17"/>
  <c r="J37" i="17"/>
  <c r="Z6" i="17"/>
  <c r="Z7" i="17"/>
  <c r="I22" i="17"/>
  <c r="J22" i="17"/>
  <c r="Z24" i="17"/>
  <c r="Z37" i="17"/>
  <c r="Z10" i="17"/>
  <c r="I18" i="17"/>
  <c r="J18" i="17"/>
  <c r="I33" i="17"/>
  <c r="J33" i="17"/>
  <c r="Z14" i="17"/>
  <c r="Z35" i="17"/>
  <c r="I21" i="17"/>
  <c r="J21" i="17"/>
  <c r="Z12" i="17"/>
  <c r="Z16" i="17"/>
  <c r="Z54" i="17"/>
  <c r="I52" i="17"/>
  <c r="J52" i="17"/>
  <c r="W512" i="1"/>
  <c r="U512" i="1"/>
  <c r="T512" i="1"/>
  <c r="S512" i="1"/>
  <c r="AJ169" i="1"/>
  <c r="AJ330" i="1"/>
  <c r="AJ363" i="1"/>
  <c r="AJ450" i="1"/>
  <c r="AJ257" i="1"/>
  <c r="AJ383" i="1"/>
  <c r="AJ477" i="1"/>
  <c r="AJ382" i="1"/>
  <c r="E15" i="25"/>
  <c r="I15" i="25" s="1"/>
  <c r="P10" i="17"/>
  <c r="Q10" i="17" s="1"/>
  <c r="F35" i="25"/>
  <c r="P8" i="17"/>
  <c r="Q8" i="17" s="1"/>
  <c r="J21" i="25"/>
  <c r="R14" i="17"/>
  <c r="T16" i="17"/>
  <c r="G24" i="25"/>
  <c r="P11" i="17"/>
  <c r="Q11" i="17" s="1"/>
  <c r="I17" i="17"/>
  <c r="P54" i="17"/>
  <c r="Q54" i="17" s="1"/>
  <c r="G22" i="25"/>
  <c r="L18" i="32"/>
  <c r="J37" i="25"/>
  <c r="P53" i="17"/>
  <c r="Q53" i="17" s="1"/>
  <c r="R25" i="17"/>
  <c r="E23" i="25"/>
  <c r="I23" i="25" s="1"/>
  <c r="R5" i="17"/>
  <c r="R23" i="17"/>
  <c r="I23" i="17"/>
  <c r="X52" i="17"/>
  <c r="P37" i="17"/>
  <c r="Q37" i="17" s="1"/>
  <c r="Z36" i="17"/>
  <c r="Z23" i="17"/>
  <c r="P20" i="17"/>
  <c r="Q20" i="17" s="1"/>
  <c r="P6" i="17"/>
  <c r="Q6" i="17" s="1"/>
  <c r="Z21" i="17"/>
  <c r="L12" i="17"/>
  <c r="F10" i="25"/>
  <c r="P7" i="17"/>
  <c r="Q7" i="17" s="1"/>
  <c r="J33" i="25"/>
  <c r="E13" i="25"/>
  <c r="I13" i="25" s="1"/>
  <c r="Z50" i="17"/>
  <c r="F28" i="25"/>
  <c r="E28" i="25"/>
  <c r="I28" i="25" s="1"/>
  <c r="I10" i="17"/>
  <c r="I51" i="17"/>
  <c r="R27" i="17"/>
  <c r="Z28" i="17"/>
  <c r="R53" i="17"/>
  <c r="Z27" i="17"/>
  <c r="E26" i="25"/>
  <c r="I26" i="25" s="1"/>
  <c r="P27" i="17"/>
  <c r="Q27" i="17" s="1"/>
  <c r="P52" i="17"/>
  <c r="Q52" i="17" s="1"/>
  <c r="Z9" i="17"/>
  <c r="I8" i="17"/>
  <c r="I14" i="17"/>
  <c r="Z26" i="17"/>
  <c r="S10" i="17"/>
  <c r="P14" i="17"/>
  <c r="Q14" i="17" s="1"/>
  <c r="R29" i="17"/>
  <c r="Z30" i="17"/>
  <c r="Z32" i="17"/>
  <c r="X50" i="17"/>
  <c r="R8" i="17"/>
  <c r="O55" i="17"/>
  <c r="R12" i="17"/>
  <c r="J43" i="25"/>
  <c r="J42" i="25"/>
  <c r="J39" i="25"/>
  <c r="J35" i="25"/>
  <c r="J34" i="25"/>
  <c r="J30" i="25"/>
  <c r="J27" i="25"/>
  <c r="J25" i="25"/>
  <c r="W9" i="25"/>
  <c r="J14" i="25"/>
  <c r="L44" i="25"/>
  <c r="J9" i="25"/>
  <c r="J7" i="25"/>
  <c r="N44" i="25"/>
  <c r="L32" i="17"/>
  <c r="L30" i="17"/>
  <c r="L26" i="17"/>
  <c r="L24" i="17"/>
  <c r="E38" i="25"/>
  <c r="I38" i="25" s="1"/>
  <c r="E27" i="25"/>
  <c r="I27" i="25" s="1"/>
  <c r="E25" i="25"/>
  <c r="I25" i="25" s="1"/>
  <c r="L53" i="17"/>
  <c r="L22" i="17"/>
  <c r="E18" i="25"/>
  <c r="I18" i="25" s="1"/>
  <c r="P36" i="17"/>
  <c r="Q36" i="17" s="1"/>
  <c r="P35" i="17"/>
  <c r="Q35" i="17" s="1"/>
  <c r="P31" i="17"/>
  <c r="Q31" i="17" s="1"/>
  <c r="P28" i="17"/>
  <c r="Q28" i="17" s="1"/>
  <c r="P25" i="17"/>
  <c r="Q25" i="17" s="1"/>
  <c r="P24" i="17"/>
  <c r="Q24" i="17" s="1"/>
  <c r="P22" i="17"/>
  <c r="Q22" i="17" s="1"/>
  <c r="P15" i="17"/>
  <c r="Q15" i="17" s="1"/>
  <c r="P12" i="17"/>
  <c r="Q12" i="17" s="1"/>
  <c r="P9" i="17"/>
  <c r="Q9" i="17" s="1"/>
  <c r="F43" i="25"/>
  <c r="E29" i="25"/>
  <c r="G29" i="25" s="1"/>
  <c r="R50" i="17"/>
  <c r="P18" i="17"/>
  <c r="Q18" i="17" s="1"/>
  <c r="X9" i="17"/>
  <c r="S8" i="17"/>
  <c r="X5" i="17"/>
  <c r="X15" i="17"/>
  <c r="X11" i="17"/>
  <c r="T9" i="17"/>
  <c r="S16" i="17"/>
  <c r="T50" i="17"/>
  <c r="L23" i="17"/>
  <c r="I37" i="25"/>
  <c r="G37" i="25"/>
  <c r="F41" i="25"/>
  <c r="E41" i="25"/>
  <c r="F18" i="25"/>
  <c r="L17" i="17"/>
  <c r="L21" i="17"/>
  <c r="L37" i="17"/>
  <c r="I24" i="17"/>
  <c r="E14" i="25"/>
  <c r="E30" i="25"/>
  <c r="I30" i="25" s="1"/>
  <c r="E12" i="25"/>
  <c r="I12" i="25" s="1"/>
  <c r="I19" i="17"/>
  <c r="R19" i="17"/>
  <c r="L18" i="17"/>
  <c r="I36" i="17"/>
  <c r="R36" i="17"/>
  <c r="R28" i="17"/>
  <c r="I28" i="17"/>
  <c r="E11" i="25"/>
  <c r="L20" i="17"/>
  <c r="E39" i="25"/>
  <c r="I39" i="25" s="1"/>
  <c r="R18" i="17"/>
  <c r="L9" i="32"/>
  <c r="P21" i="17"/>
  <c r="Q21" i="17" s="1"/>
  <c r="J38" i="25"/>
  <c r="J26" i="25"/>
  <c r="J22" i="25"/>
  <c r="U9" i="25"/>
  <c r="L31" i="17"/>
  <c r="S15" i="17"/>
  <c r="S11" i="17"/>
  <c r="R52" i="17"/>
  <c r="I11" i="17"/>
  <c r="L28" i="17"/>
  <c r="L35" i="17"/>
  <c r="L54" i="17"/>
  <c r="L17" i="32"/>
  <c r="P30" i="17"/>
  <c r="Q30" i="17" s="1"/>
  <c r="L24" i="32"/>
  <c r="E20" i="25"/>
  <c r="I20" i="25" s="1"/>
  <c r="S52" i="17"/>
  <c r="L3" i="32"/>
  <c r="L29" i="17"/>
  <c r="E10" i="25"/>
  <c r="L51" i="17"/>
  <c r="T52" i="17"/>
  <c r="L7" i="32"/>
  <c r="Z25" i="17"/>
  <c r="Z19" i="17"/>
  <c r="J41" i="25"/>
  <c r="J29" i="25"/>
  <c r="J13" i="25"/>
  <c r="L36" i="17"/>
  <c r="E8" i="25"/>
  <c r="I8" i="25" s="1"/>
  <c r="S54" i="17"/>
  <c r="X37" i="17"/>
  <c r="X35" i="17"/>
  <c r="T32" i="17"/>
  <c r="X28" i="17"/>
  <c r="X27" i="17"/>
  <c r="S12" i="17"/>
  <c r="S7" i="17"/>
  <c r="E7" i="25"/>
  <c r="I7" i="25" s="1"/>
  <c r="J10" i="25"/>
  <c r="I24" i="25"/>
  <c r="G16" i="17"/>
  <c r="P29" i="17"/>
  <c r="Q29" i="17" s="1"/>
  <c r="Z20" i="17"/>
  <c r="P16" i="17"/>
  <c r="Q16" i="17" s="1"/>
  <c r="Y9" i="25"/>
  <c r="F31" i="25"/>
  <c r="F6" i="25"/>
  <c r="M44" i="25"/>
  <c r="E31" i="25"/>
  <c r="I31" i="25" s="1"/>
  <c r="L50" i="17"/>
  <c r="L16" i="32"/>
  <c r="P23" i="17"/>
  <c r="Q23" i="17" s="1"/>
  <c r="AA8" i="25"/>
  <c r="J40" i="25"/>
  <c r="J36" i="25"/>
  <c r="J32" i="25"/>
  <c r="J28" i="25"/>
  <c r="J24" i="25"/>
  <c r="J20" i="25"/>
  <c r="J12" i="25"/>
  <c r="J8" i="25"/>
  <c r="E9" i="25"/>
  <c r="G9" i="25" s="1"/>
  <c r="X16" i="17"/>
  <c r="I27" i="17"/>
  <c r="R9" i="17"/>
  <c r="I6" i="17"/>
  <c r="R10" i="17"/>
  <c r="Z51" i="17"/>
  <c r="L31" i="32"/>
  <c r="K55" i="17"/>
  <c r="U55" i="17" s="1"/>
  <c r="J6" i="25"/>
  <c r="P50" i="17"/>
  <c r="Q50" i="17" s="1"/>
  <c r="L4" i="32"/>
  <c r="L15" i="32"/>
  <c r="P17" i="17"/>
  <c r="Q17" i="17" s="1"/>
  <c r="P26" i="17"/>
  <c r="Q26" i="17" s="1"/>
  <c r="Y8" i="25"/>
  <c r="L33" i="17"/>
  <c r="L13" i="17"/>
  <c r="L25" i="32"/>
  <c r="L14" i="32"/>
  <c r="L38" i="17"/>
  <c r="E32" i="25"/>
  <c r="I32" i="25" s="1"/>
  <c r="L19" i="17"/>
  <c r="E36" i="25"/>
  <c r="I36" i="25" s="1"/>
  <c r="S9" i="17"/>
  <c r="F38" i="25"/>
  <c r="R6" i="17"/>
  <c r="R33" i="17"/>
  <c r="L13" i="32"/>
  <c r="P38" i="17"/>
  <c r="Q38" i="17" s="1"/>
  <c r="P32" i="17"/>
  <c r="Q32" i="17" s="1"/>
  <c r="J31" i="25"/>
  <c r="J23" i="25"/>
  <c r="J19" i="25"/>
  <c r="J15" i="25"/>
  <c r="J11" i="25"/>
  <c r="E33" i="25"/>
  <c r="I33" i="25" s="1"/>
  <c r="L15" i="17"/>
  <c r="S6" i="17"/>
  <c r="L19" i="32"/>
  <c r="R35" i="17"/>
  <c r="Z11" i="17"/>
  <c r="I25" i="17"/>
  <c r="I35" i="17"/>
  <c r="R31" i="17"/>
  <c r="L12" i="32"/>
  <c r="AA9" i="25"/>
  <c r="U8" i="25"/>
  <c r="I26" i="17"/>
  <c r="R26" i="17"/>
  <c r="E34" i="25"/>
  <c r="F21" i="25"/>
  <c r="E19" i="25"/>
  <c r="F40" i="25"/>
  <c r="F19" i="25"/>
  <c r="E40" i="25"/>
  <c r="L25" i="17"/>
  <c r="E42" i="25"/>
  <c r="F42" i="25"/>
  <c r="L5" i="17"/>
  <c r="I54" i="17"/>
  <c r="R54" i="17"/>
  <c r="R7" i="17"/>
  <c r="I7" i="17"/>
  <c r="F32" i="25"/>
  <c r="I13" i="17"/>
  <c r="R13" i="17"/>
  <c r="R30" i="17"/>
  <c r="I30" i="17"/>
  <c r="L27" i="17"/>
  <c r="R32" i="17"/>
  <c r="I32" i="17"/>
  <c r="R38" i="17"/>
  <c r="I38" i="17"/>
  <c r="K44" i="25"/>
  <c r="T24" i="17"/>
  <c r="T8" i="17"/>
  <c r="X8" i="17"/>
  <c r="I50" i="17"/>
  <c r="M55" i="17"/>
  <c r="R24" i="17"/>
  <c r="I5" i="17"/>
  <c r="Z29" i="17"/>
  <c r="L30" i="32"/>
  <c r="L8" i="32"/>
  <c r="J18" i="25"/>
  <c r="R51" i="17"/>
  <c r="R21" i="17"/>
  <c r="I31" i="17"/>
  <c r="E55" i="17"/>
  <c r="L29" i="32"/>
  <c r="L32" i="32"/>
  <c r="S21" i="17"/>
  <c r="X29" i="17"/>
  <c r="X26" i="17"/>
  <c r="X24" i="17"/>
  <c r="T23" i="17"/>
  <c r="X13" i="17"/>
  <c r="S5" i="17"/>
  <c r="P33" i="17"/>
  <c r="Q33" i="17" s="1"/>
  <c r="L28" i="32"/>
  <c r="L23" i="32"/>
  <c r="Z15" i="17"/>
  <c r="E43" i="25"/>
  <c r="E6" i="25"/>
  <c r="F20" i="25"/>
  <c r="R37" i="17"/>
  <c r="L33" i="32"/>
  <c r="L38" i="32"/>
  <c r="Z53" i="17"/>
  <c r="P5" i="17"/>
  <c r="Z8" i="17"/>
  <c r="E35" i="25"/>
  <c r="Z22" i="17"/>
  <c r="E21" i="25"/>
  <c r="R20" i="17"/>
  <c r="I53" i="17"/>
  <c r="L11" i="32"/>
  <c r="W8" i="25"/>
  <c r="L22" i="32"/>
  <c r="L6" i="32"/>
  <c r="I9" i="17"/>
  <c r="R11" i="17"/>
  <c r="L37" i="32"/>
  <c r="L34" i="32"/>
  <c r="L21" i="32"/>
  <c r="F33" i="25"/>
  <c r="L27" i="32"/>
  <c r="R22" i="17"/>
  <c r="R17" i="17"/>
  <c r="L36" i="32"/>
  <c r="L26" i="32"/>
  <c r="L5" i="32"/>
  <c r="S20" i="17"/>
  <c r="R15" i="17"/>
  <c r="L35" i="32"/>
  <c r="L10" i="32"/>
  <c r="P19" i="17"/>
  <c r="Q19" i="17" s="1"/>
  <c r="P51" i="17"/>
  <c r="Q51" i="17" s="1"/>
  <c r="P13" i="17"/>
  <c r="Q13" i="17" s="1"/>
  <c r="N55" i="17"/>
  <c r="I12" i="17"/>
  <c r="S19" i="17"/>
  <c r="X38" i="17"/>
  <c r="S37" i="17"/>
  <c r="S35" i="17"/>
  <c r="T30" i="17"/>
  <c r="X30" i="17"/>
  <c r="T28" i="17"/>
  <c r="X22" i="17"/>
  <c r="T22" i="17"/>
  <c r="X21" i="17"/>
  <c r="X20" i="17"/>
  <c r="X19" i="17"/>
  <c r="T18" i="17"/>
  <c r="T17" i="17"/>
  <c r="S50" i="17"/>
  <c r="S53" i="17"/>
  <c r="X54" i="17"/>
  <c r="X51" i="17"/>
  <c r="X31" i="17"/>
  <c r="S31" i="17"/>
  <c r="S22" i="17"/>
  <c r="T20" i="17"/>
  <c r="S13" i="17"/>
  <c r="T11" i="17"/>
  <c r="S14" i="17"/>
  <c r="S51" i="17"/>
  <c r="T37" i="17"/>
  <c r="T35" i="17"/>
  <c r="T33" i="17"/>
  <c r="S33" i="17"/>
  <c r="S27" i="17"/>
  <c r="X12" i="17"/>
  <c r="T29" i="17"/>
  <c r="T7" i="17"/>
  <c r="T10" i="17"/>
  <c r="T5" i="17"/>
  <c r="T13" i="17"/>
  <c r="S26" i="17"/>
  <c r="X18" i="17"/>
  <c r="X33" i="17"/>
  <c r="T19" i="17"/>
  <c r="S18" i="17"/>
  <c r="T12" i="17"/>
  <c r="X14" i="17"/>
  <c r="T54" i="17"/>
  <c r="T53" i="17"/>
  <c r="T51" i="17"/>
  <c r="S36" i="17"/>
  <c r="S30" i="17"/>
  <c r="S25" i="17"/>
  <c r="S24" i="17"/>
  <c r="S23" i="17"/>
  <c r="T26" i="17"/>
  <c r="X36" i="17"/>
  <c r="T14" i="17"/>
  <c r="X23" i="17"/>
  <c r="X32" i="17"/>
  <c r="T27" i="17"/>
  <c r="T38" i="17"/>
  <c r="S38" i="17"/>
  <c r="S32" i="17"/>
  <c r="T31" i="17"/>
  <c r="S29" i="17"/>
  <c r="S28" i="17"/>
  <c r="S17" i="17"/>
  <c r="T15" i="17"/>
  <c r="T6" i="17"/>
  <c r="X17" i="17"/>
  <c r="X53" i="17"/>
  <c r="T25" i="17"/>
  <c r="T21" i="17"/>
  <c r="X7" i="17"/>
  <c r="X25" i="17"/>
  <c r="X6" i="17"/>
  <c r="T36" i="17"/>
  <c r="X10" i="17"/>
  <c r="F7" i="20"/>
  <c r="F8" i="20"/>
  <c r="R16" i="17" l="1"/>
  <c r="R55" i="17" s="1"/>
  <c r="J16" i="17"/>
  <c r="G15" i="25"/>
  <c r="Y10" i="17"/>
  <c r="W21" i="17"/>
  <c r="Q8" i="25"/>
  <c r="W8" i="17"/>
  <c r="I29" i="25"/>
  <c r="G25" i="25"/>
  <c r="G10" i="25"/>
  <c r="G23" i="25"/>
  <c r="G13" i="25"/>
  <c r="Y16" i="17"/>
  <c r="W52" i="17"/>
  <c r="V6" i="17"/>
  <c r="G30" i="25"/>
  <c r="G27" i="25"/>
  <c r="G39" i="25"/>
  <c r="G20" i="25"/>
  <c r="G12" i="25"/>
  <c r="G32" i="25"/>
  <c r="W16" i="17"/>
  <c r="G18" i="25"/>
  <c r="W17" i="17"/>
  <c r="I9" i="25"/>
  <c r="G8" i="25"/>
  <c r="G7" i="25"/>
  <c r="T8" i="25"/>
  <c r="V8" i="25" s="1"/>
  <c r="G28" i="25"/>
  <c r="I10" i="25"/>
  <c r="Y9" i="17"/>
  <c r="W33" i="17"/>
  <c r="W20" i="17"/>
  <c r="Y24" i="17"/>
  <c r="G36" i="25"/>
  <c r="G55" i="17"/>
  <c r="J55" i="17" s="1"/>
  <c r="G26" i="25"/>
  <c r="G38" i="25"/>
  <c r="V8" i="17"/>
  <c r="V33" i="17"/>
  <c r="Y12" i="17"/>
  <c r="Y53" i="17"/>
  <c r="V54" i="17"/>
  <c r="V37" i="17"/>
  <c r="W19" i="17"/>
  <c r="Y14" i="17"/>
  <c r="V16" i="17"/>
  <c r="Y8" i="17"/>
  <c r="V31" i="17"/>
  <c r="W9" i="17"/>
  <c r="W22" i="17"/>
  <c r="Y5" i="17"/>
  <c r="Y11" i="17"/>
  <c r="Y15" i="17"/>
  <c r="V9" i="17"/>
  <c r="W14" i="17"/>
  <c r="W11" i="17"/>
  <c r="W5" i="17"/>
  <c r="Y32" i="17"/>
  <c r="Y6" i="17"/>
  <c r="Y35" i="17"/>
  <c r="V5" i="17"/>
  <c r="Y13" i="17"/>
  <c r="V18" i="17"/>
  <c r="Y52" i="17"/>
  <c r="V24" i="17"/>
  <c r="V23" i="17"/>
  <c r="V52" i="17"/>
  <c r="V35" i="17"/>
  <c r="W7" i="17"/>
  <c r="W28" i="17"/>
  <c r="Y28" i="17"/>
  <c r="Y51" i="17"/>
  <c r="Y33" i="17"/>
  <c r="W50" i="17"/>
  <c r="V17" i="17"/>
  <c r="Y17" i="17"/>
  <c r="L39" i="32"/>
  <c r="V28" i="17"/>
  <c r="Y23" i="17"/>
  <c r="W51" i="17"/>
  <c r="Y25" i="17"/>
  <c r="W6" i="17"/>
  <c r="G31" i="25"/>
  <c r="W37" i="17"/>
  <c r="W13" i="17"/>
  <c r="W23" i="17"/>
  <c r="Y30" i="17"/>
  <c r="I41" i="25"/>
  <c r="G41" i="25"/>
  <c r="Y18" i="17"/>
  <c r="I16" i="17"/>
  <c r="I55" i="17" s="1"/>
  <c r="I11" i="25"/>
  <c r="G11" i="25"/>
  <c r="I14" i="25"/>
  <c r="G14" i="25"/>
  <c r="G33" i="25"/>
  <c r="T9" i="25"/>
  <c r="AB9" i="25" s="1"/>
  <c r="V50" i="17"/>
  <c r="W18" i="17"/>
  <c r="Y37" i="17"/>
  <c r="Y22" i="17"/>
  <c r="V10" i="17"/>
  <c r="Q9" i="25"/>
  <c r="W10" i="17"/>
  <c r="Y38" i="17"/>
  <c r="Z55" i="17"/>
  <c r="I42" i="25"/>
  <c r="G42" i="25"/>
  <c r="W32" i="17"/>
  <c r="W35" i="17"/>
  <c r="F44" i="25"/>
  <c r="V30" i="17"/>
  <c r="V11" i="17"/>
  <c r="I21" i="25"/>
  <c r="G21" i="25"/>
  <c r="W53" i="17"/>
  <c r="V51" i="17"/>
  <c r="V53" i="17"/>
  <c r="I6" i="25"/>
  <c r="E44" i="25"/>
  <c r="G6" i="25"/>
  <c r="Y50" i="17"/>
  <c r="W31" i="17"/>
  <c r="W12" i="17"/>
  <c r="Y20" i="17"/>
  <c r="I35" i="25"/>
  <c r="G35" i="25"/>
  <c r="V19" i="17"/>
  <c r="V12" i="17"/>
  <c r="I43" i="25"/>
  <c r="G43" i="25"/>
  <c r="I40" i="25"/>
  <c r="G40" i="25"/>
  <c r="V32" i="17"/>
  <c r="Y31" i="17"/>
  <c r="W30" i="17"/>
  <c r="W15" i="17"/>
  <c r="V20" i="17"/>
  <c r="Q5" i="17"/>
  <c r="Q55" i="17" s="1"/>
  <c r="P55" i="17"/>
  <c r="I19" i="25"/>
  <c r="G19" i="25"/>
  <c r="L55" i="17"/>
  <c r="V22" i="17"/>
  <c r="Y7" i="17"/>
  <c r="V7" i="17"/>
  <c r="W24" i="17"/>
  <c r="W29" i="17"/>
  <c r="G34" i="25"/>
  <c r="I34" i="25"/>
  <c r="V14" i="17"/>
  <c r="W27" i="17"/>
  <c r="Y27" i="17"/>
  <c r="V27" i="17"/>
  <c r="Y19" i="17"/>
  <c r="V13" i="17"/>
  <c r="W26" i="17"/>
  <c r="V26" i="17"/>
  <c r="Y26" i="17"/>
  <c r="V38" i="17"/>
  <c r="T55" i="17"/>
  <c r="Y21" i="17"/>
  <c r="V21" i="17"/>
  <c r="X55" i="17"/>
  <c r="S55" i="17"/>
  <c r="Y29" i="17"/>
  <c r="W38" i="17"/>
  <c r="V29" i="17"/>
  <c r="V25" i="17"/>
  <c r="Y54" i="17"/>
  <c r="V15" i="17"/>
  <c r="W25" i="17"/>
  <c r="W54" i="17"/>
  <c r="V36" i="17"/>
  <c r="Y36" i="17"/>
  <c r="W36" i="17"/>
  <c r="X9" i="25" l="1"/>
  <c r="V9" i="25"/>
  <c r="Z9" i="25"/>
  <c r="X8" i="25"/>
  <c r="AB8" i="25"/>
  <c r="Z8" i="25"/>
  <c r="S8" i="25"/>
  <c r="S9" i="25"/>
  <c r="G44" i="25"/>
  <c r="R8" i="25"/>
  <c r="R9" i="25"/>
  <c r="Y55" i="17"/>
</calcChain>
</file>

<file path=xl/sharedStrings.xml><?xml version="1.0" encoding="utf-8"?>
<sst xmlns="http://schemas.openxmlformats.org/spreadsheetml/2006/main" count="6546" uniqueCount="789">
  <si>
    <t>Last Modified</t>
  </si>
  <si>
    <t>To-Date Course Information Based on Processed Rosters</t>
  </si>
  <si>
    <t>Courses - Planned vs Need (Active Courses)</t>
  </si>
  <si>
    <t>CTR</t>
  </si>
  <si>
    <t>Dept</t>
  </si>
  <si>
    <t>Course Offerings Todate</t>
  </si>
  <si>
    <t>Online</t>
  </si>
  <si>
    <t>Resident</t>
  </si>
  <si>
    <t>Quotas Per Convening</t>
  </si>
  <si>
    <t>Quotas Provided</t>
  </si>
  <si>
    <t>Quotas Used</t>
  </si>
  <si>
    <t>Total Grads</t>
  </si>
  <si>
    <t>Fails</t>
  </si>
  <si>
    <t>No Shows</t>
  </si>
  <si>
    <t>Walk-ins</t>
  </si>
  <si>
    <t xml:space="preserve">Afloat Environmental Protection Coordinator (Global Online) </t>
  </si>
  <si>
    <t>EEM</t>
  </si>
  <si>
    <t>Facility Response Team (FRT) Five Day</t>
  </si>
  <si>
    <t>y</t>
  </si>
  <si>
    <t>Course Type</t>
  </si>
  <si>
    <r>
      <rPr>
        <b/>
        <sz val="10"/>
        <color rgb="FF000000"/>
        <rFont val="Calibri"/>
        <family val="2"/>
      </rPr>
      <t xml:space="preserve">Quotas Used </t>
    </r>
    <r>
      <rPr>
        <b/>
        <sz val="8"/>
        <color rgb="FF000000"/>
        <rFont val="Calibri"/>
        <family val="2"/>
      </rPr>
      <t>(Grads, Fails, No-Shows)</t>
    </r>
  </si>
  <si>
    <t>Grads</t>
  </si>
  <si>
    <t>% Grads</t>
  </si>
  <si>
    <t>%Fails</t>
  </si>
  <si>
    <t>No-Show</t>
  </si>
  <si>
    <t>%No-Shows</t>
  </si>
  <si>
    <t>Walk-in</t>
  </si>
  <si>
    <t>%Walk-in</t>
  </si>
  <si>
    <t>Facility Response Team (FRT) Three Day</t>
  </si>
  <si>
    <t>Hazardous Substance Incident Response Management (HSIRM)</t>
  </si>
  <si>
    <t>Safety</t>
  </si>
  <si>
    <t>Hazardous Substance Incident Response Management (HSIRM) Refresher</t>
  </si>
  <si>
    <t>Incident Command System 300 (ICS 300)</t>
  </si>
  <si>
    <t>Incident Command System 300 (ICS 300) Refresher</t>
  </si>
  <si>
    <t>Incident Command System 400 (ICS 400)</t>
  </si>
  <si>
    <t>Oil Hazardous Substance Spill Response Tabletop Exercise (OHS TTX)</t>
  </si>
  <si>
    <t xml:space="preserve">Tank Managers </t>
  </si>
  <si>
    <t xml:space="preserve">Aviation Safety Specialist (Global Online) </t>
  </si>
  <si>
    <t xml:space="preserve">General Industry Safety Standards (Global Online) </t>
  </si>
  <si>
    <t>Operational Risk Management Application &amp; Integration (Global Online)</t>
  </si>
  <si>
    <t xml:space="preserve">Safety Programs Afloat (Global Online) </t>
  </si>
  <si>
    <t>Asbestos Inspector</t>
  </si>
  <si>
    <t>Asbestos Inspector Refresher</t>
  </si>
  <si>
    <t xml:space="preserve">Asbestos Management Planner </t>
  </si>
  <si>
    <t>Asbestos Management Planner Refresher</t>
  </si>
  <si>
    <t>Asbestos Supervisor Initial</t>
  </si>
  <si>
    <t>Asbestos Supervisor Refresher</t>
  </si>
  <si>
    <t>Confined Space Safety</t>
  </si>
  <si>
    <t>Emergency Asbestos Response Team</t>
  </si>
  <si>
    <t>Industrial Noise</t>
  </si>
  <si>
    <t xml:space="preserve">Introduction to Hazardous Materials [Ashore] (Global Online) </t>
  </si>
  <si>
    <t xml:space="preserve">Introduction to Industrial Hygiene for Safety Professionals (Global Online) </t>
  </si>
  <si>
    <t>Navy Ergonomics Program (Global Online)</t>
  </si>
  <si>
    <t>Respiratory Protection Program Management</t>
  </si>
  <si>
    <t xml:space="preserve">Submarine Safety Officer (Global Online) </t>
  </si>
  <si>
    <t>Competent Person for Fall Protection Course (Resident)</t>
  </si>
  <si>
    <t>Construction Safety Standards</t>
  </si>
  <si>
    <t>Fall Protection Program Manager Course (Global Online)</t>
  </si>
  <si>
    <t>Fire Protection and Life Safety</t>
  </si>
  <si>
    <t xml:space="preserve">Introduction to Naval Safety and Occupational Health (Global Online) </t>
  </si>
  <si>
    <t xml:space="preserve">Machinery and Machine Guarding Standards (Global Online) </t>
  </si>
  <si>
    <t xml:space="preserve">Mishap Investigation (Global Online) </t>
  </si>
  <si>
    <t>Total</t>
  </si>
  <si>
    <t>Sum of Quotas</t>
  </si>
  <si>
    <t>Sum of Graduates</t>
  </si>
  <si>
    <t>Sum of Fail</t>
  </si>
  <si>
    <t>Sum of No Shows</t>
  </si>
  <si>
    <t>1. Click ^^^</t>
  </si>
  <si>
    <t>Grads+Fails</t>
  </si>
  <si>
    <t>Grads+Fails+NoShows</t>
  </si>
  <si>
    <t>***Based off file received 22 May 3:39 PM***</t>
  </si>
  <si>
    <t>Course</t>
  </si>
  <si>
    <t>Format</t>
  </si>
  <si>
    <t>CIN</t>
  </si>
  <si>
    <t>CDP</t>
  </si>
  <si>
    <t>FY25 FLT Quota Need</t>
  </si>
  <si>
    <t>Quota Per Course</t>
  </si>
  <si>
    <t>FY25 Courses Needed</t>
  </si>
  <si>
    <t>FY25Courses Needed Round Up</t>
  </si>
  <si>
    <t>NSETC Course # projections</t>
  </si>
  <si>
    <t>NSETC Course # Planned</t>
  </si>
  <si>
    <t>Hours per course</t>
  </si>
  <si>
    <t>Total hours for FY25 to instruct course</t>
  </si>
  <si>
    <t>NSETC FLT Needs deficit</t>
  </si>
  <si>
    <t>NSETC % towards fleet need</t>
  </si>
  <si>
    <t>ENV</t>
  </si>
  <si>
    <t>Global Online</t>
  </si>
  <si>
    <t>A-4J-0022</t>
  </si>
  <si>
    <t>09ER</t>
  </si>
  <si>
    <t>Asbestos Inspector Initial</t>
  </si>
  <si>
    <t>OH</t>
  </si>
  <si>
    <t>A-493-0014</t>
  </si>
  <si>
    <t>A-493-0015</t>
  </si>
  <si>
    <t>Asbestos Management Planner Initial</t>
  </si>
  <si>
    <t>A-493-0019</t>
  </si>
  <si>
    <t>A-493-0020</t>
  </si>
  <si>
    <t>A-493-0069</t>
  </si>
  <si>
    <t>450U</t>
  </si>
  <si>
    <t>A-493-0070</t>
  </si>
  <si>
    <t>450V</t>
  </si>
  <si>
    <t>FLT</t>
  </si>
  <si>
    <t>A-493-0665</t>
  </si>
  <si>
    <t>10KW</t>
  </si>
  <si>
    <t>SAF</t>
  </si>
  <si>
    <t>A-493-0103</t>
  </si>
  <si>
    <t>12JY</t>
  </si>
  <si>
    <t>A-493-0030</t>
  </si>
  <si>
    <t>286X</t>
  </si>
  <si>
    <t>A-493-0021</t>
  </si>
  <si>
    <t>18BN</t>
  </si>
  <si>
    <t>A-760-2166</t>
  </si>
  <si>
    <t>438J</t>
  </si>
  <si>
    <t>A-493-0012</t>
  </si>
  <si>
    <t>A-493-0013</t>
  </si>
  <si>
    <t>A-493-0099</t>
  </si>
  <si>
    <t>12JW</t>
  </si>
  <si>
    <t>A-493-0075</t>
  </si>
  <si>
    <t>714U</t>
  </si>
  <si>
    <t>A-493-0061</t>
  </si>
  <si>
    <t>288E</t>
  </si>
  <si>
    <t>Hazardous Material Control and Management [HMC&amp;M] Technician (Global Online)</t>
  </si>
  <si>
    <t>A-322-2604</t>
  </si>
  <si>
    <t>10ZZ</t>
  </si>
  <si>
    <t>A-493-0077</t>
  </si>
  <si>
    <t>0381</t>
  </si>
  <si>
    <t>A-493-0083</t>
  </si>
  <si>
    <t>339E</t>
  </si>
  <si>
    <t>A-493-2300</t>
  </si>
  <si>
    <t>993F</t>
  </si>
  <si>
    <t>A-493-2301</t>
  </si>
  <si>
    <t>05ZD</t>
  </si>
  <si>
    <t>A-493-0216</t>
  </si>
  <si>
    <t>12X8</t>
  </si>
  <si>
    <t>A-493-0092</t>
  </si>
  <si>
    <t>A-493-0331</t>
  </si>
  <si>
    <t>10UG</t>
  </si>
  <si>
    <t>A-493-0335</t>
  </si>
  <si>
    <t>09ND</t>
  </si>
  <si>
    <t>A-493-0550</t>
  </si>
  <si>
    <t>09K5</t>
  </si>
  <si>
    <t>A-493-0073</t>
  </si>
  <si>
    <t>714S</t>
  </si>
  <si>
    <t>A-493-0078</t>
  </si>
  <si>
    <t>A-493-0085</t>
  </si>
  <si>
    <t>A-493-2501</t>
  </si>
  <si>
    <t>05ZE</t>
  </si>
  <si>
    <t>A-570-0100</t>
  </si>
  <si>
    <t>18B7</t>
  </si>
  <si>
    <t>A-493-0072</t>
  </si>
  <si>
    <t>713U</t>
  </si>
  <si>
    <t>A-493-2098</t>
  </si>
  <si>
    <t>09WW</t>
  </si>
  <si>
    <t>F-4J-0023</t>
  </si>
  <si>
    <t>11A2</t>
  </si>
  <si>
    <t>A-493-0217</t>
  </si>
  <si>
    <t>12X3</t>
  </si>
  <si>
    <t>Location</t>
  </si>
  <si>
    <t>Bremerton, WA</t>
  </si>
  <si>
    <t>Camp Lejeune, NC</t>
  </si>
  <si>
    <t>Camp Pendleton, CA</t>
  </si>
  <si>
    <t>Cherry Point, NC</t>
  </si>
  <si>
    <t>Everett, WA</t>
  </si>
  <si>
    <t>Guam</t>
  </si>
  <si>
    <t>Gulfport, MS</t>
  </si>
  <si>
    <t>Iwakuni, Japan</t>
  </si>
  <si>
    <t>Jacksonville, FL</t>
  </si>
  <si>
    <t>Lemoore, CA</t>
  </si>
  <si>
    <t>Mayport, FL</t>
  </si>
  <si>
    <t>Norfolk, VA</t>
  </si>
  <si>
    <t>Norfolk, VA Classroom 1</t>
  </si>
  <si>
    <t>Norfolk, VA Classroom 2</t>
  </si>
  <si>
    <t>Norfolk, VA Safety Command</t>
  </si>
  <si>
    <t>Okinawa, Japan</t>
  </si>
  <si>
    <t>Pax River, MD</t>
  </si>
  <si>
    <t>Pearl Harbor, HI</t>
  </si>
  <si>
    <t>Port Hueneme, CA</t>
  </si>
  <si>
    <t>San Diego, CA</t>
  </si>
  <si>
    <t xml:space="preserve">Virginia Beach, VA </t>
  </si>
  <si>
    <t>Whidbey Island, WA</t>
  </si>
  <si>
    <t>Yokosuka, Japan</t>
  </si>
  <si>
    <t>(blank)</t>
  </si>
  <si>
    <t>Holiday</t>
  </si>
  <si>
    <t>MCAS Miramar</t>
  </si>
  <si>
    <t>MCAS Yuma, AZ</t>
  </si>
  <si>
    <t>Norfolk, VA Other</t>
  </si>
  <si>
    <t>Sigonella, Italy</t>
  </si>
  <si>
    <t>Grand Total</t>
  </si>
  <si>
    <t>Date Canceled</t>
  </si>
  <si>
    <t>Course Title</t>
  </si>
  <si>
    <t xml:space="preserve">CDP </t>
  </si>
  <si>
    <t>Start Date</t>
  </si>
  <si>
    <t>End Date</t>
  </si>
  <si>
    <t>Resident Local Start Time of location</t>
  </si>
  <si>
    <t xml:space="preserve">EST/EDT Local Live Session Start Time </t>
  </si>
  <si>
    <t xml:space="preserve">PST/PDT Local Live Session Start Time </t>
  </si>
  <si>
    <t xml:space="preserve">AST Local Live Session Start Time </t>
  </si>
  <si>
    <t xml:space="preserve">CET/CEST Local Live Session Start Time </t>
  </si>
  <si>
    <t xml:space="preserve">HST Local Live Session Start Time </t>
  </si>
  <si>
    <t xml:space="preserve">JST Local Live Session Start Time </t>
  </si>
  <si>
    <t>Primary Instructor</t>
  </si>
  <si>
    <t>Instructor 2</t>
  </si>
  <si>
    <t>Quotas</t>
  </si>
  <si>
    <t>Course Length (Hours)</t>
  </si>
  <si>
    <t>Course Length (Days)</t>
  </si>
  <si>
    <t>FY25 Need</t>
  </si>
  <si>
    <t>Registered</t>
  </si>
  <si>
    <t>Waitlisted</t>
  </si>
  <si>
    <t>Graduates</t>
  </si>
  <si>
    <t>Fail</t>
  </si>
  <si>
    <t>Foreign Grads</t>
  </si>
  <si>
    <t>Roster Received By</t>
  </si>
  <si>
    <t>Roster Due</t>
  </si>
  <si>
    <t>Roster Status</t>
  </si>
  <si>
    <t>Remaining Courses</t>
  </si>
  <si>
    <t>Panama City, FL</t>
  </si>
  <si>
    <t>Intro to IND HYG</t>
  </si>
  <si>
    <t>Singapore</t>
  </si>
  <si>
    <t>Days</t>
  </si>
  <si>
    <t>Hours</t>
  </si>
  <si>
    <t>Department</t>
  </si>
  <si>
    <t>Instructor #1</t>
  </si>
  <si>
    <t>Instructor #2</t>
  </si>
  <si>
    <t>Instructor #3</t>
  </si>
  <si>
    <t>Live Session Start Time ET</t>
  </si>
  <si>
    <t>Military Support</t>
  </si>
  <si>
    <t>Afloat Environmental Protection Coordinator (Resident)</t>
  </si>
  <si>
    <t xml:space="preserve"> A-4J-0021</t>
  </si>
  <si>
    <t xml:space="preserve"> 430U</t>
  </si>
  <si>
    <t>N4</t>
  </si>
  <si>
    <t>BMC Sosaya</t>
  </si>
  <si>
    <t>Andros, Bahamas</t>
  </si>
  <si>
    <t>ABF3 Sherman</t>
  </si>
  <si>
    <t>LTJG Bozenski</t>
  </si>
  <si>
    <t>A. Hardy</t>
  </si>
  <si>
    <t>Annapolis, MD</t>
  </si>
  <si>
    <t>ABH3 Sutherland</t>
  </si>
  <si>
    <t>TBD</t>
  </si>
  <si>
    <t>N3</t>
  </si>
  <si>
    <t>K. Seo</t>
  </si>
  <si>
    <t>Atsugi, Japan</t>
  </si>
  <si>
    <t>Bearup, Angie</t>
  </si>
  <si>
    <t>ENV Contractor</t>
  </si>
  <si>
    <t>Bahrain</t>
  </si>
  <si>
    <t>Benzick, Sue</t>
  </si>
  <si>
    <t>EMC Stroughn</t>
  </si>
  <si>
    <t>R. Hartel</t>
  </si>
  <si>
    <t>Baltimore, MD</t>
  </si>
  <si>
    <t>Carter, Amanda</t>
  </si>
  <si>
    <t>LSC Kitivi</t>
  </si>
  <si>
    <t>G. Jester</t>
  </si>
  <si>
    <t>Bangor, WA</t>
  </si>
  <si>
    <t>Weaver, Nicole</t>
  </si>
  <si>
    <t>LS1 Scoggins</t>
  </si>
  <si>
    <t>W. Bailey</t>
  </si>
  <si>
    <t>Bath, ME</t>
  </si>
  <si>
    <t>Kollie, Sarah</t>
  </si>
  <si>
    <t>T. White</t>
  </si>
  <si>
    <t>Beaufort, SC</t>
  </si>
  <si>
    <t>Gain 1</t>
  </si>
  <si>
    <t>Lauren</t>
  </si>
  <si>
    <t>Aviation Safety Specialist</t>
  </si>
  <si>
    <t>A-493-0065</t>
  </si>
  <si>
    <t>399A</t>
  </si>
  <si>
    <t>N5</t>
  </si>
  <si>
    <t>Gain 2</t>
  </si>
  <si>
    <t>Marie</t>
  </si>
  <si>
    <t>Amanda</t>
  </si>
  <si>
    <t>Camp Butler, Japan</t>
  </si>
  <si>
    <t>Nicole</t>
  </si>
  <si>
    <t>Electrical Standards</t>
  </si>
  <si>
    <t>A-493-0033</t>
  </si>
  <si>
    <t>287A</t>
  </si>
  <si>
    <t>N. DeCastro</t>
  </si>
  <si>
    <t>Chinhae, Korea</t>
  </si>
  <si>
    <t>S. Griffin</t>
  </si>
  <si>
    <t>Colts Neck, NJ</t>
  </si>
  <si>
    <t>Coronado, CA</t>
  </si>
  <si>
    <t>V. Kentish</t>
  </si>
  <si>
    <t>Corpus Christi, TX</t>
  </si>
  <si>
    <t xml:space="preserve">Competent Person for Fall Protection Course (Global Online) </t>
  </si>
  <si>
    <t>ETVCS Zellman</t>
  </si>
  <si>
    <t>Crane, IN</t>
  </si>
  <si>
    <t xml:space="preserve">A-493-0075 </t>
  </si>
  <si>
    <t>FTC Sosa</t>
  </si>
  <si>
    <t>Diego Garcia</t>
  </si>
  <si>
    <t>TMC Newman</t>
  </si>
  <si>
    <t>Hazardous Material Control and Management [HMC&amp;M] Technician (Resident)</t>
  </si>
  <si>
    <t>A-322-2600</t>
  </si>
  <si>
    <t>438D</t>
  </si>
  <si>
    <t>SOH Contractor</t>
  </si>
  <si>
    <t>Great Lakes, IL</t>
  </si>
  <si>
    <t>Groton, CT</t>
  </si>
  <si>
    <t>A. Harris</t>
  </si>
  <si>
    <t>B. Jung</t>
  </si>
  <si>
    <t>Guantanamo Bay, Cuba</t>
  </si>
  <si>
    <t>J. Houston</t>
  </si>
  <si>
    <t>Hachinohe, Japan</t>
  </si>
  <si>
    <t>W. Mitchell</t>
  </si>
  <si>
    <t>Hakozaki, Japan</t>
  </si>
  <si>
    <t>LT Andrew</t>
  </si>
  <si>
    <t>Indian Head, MD</t>
  </si>
  <si>
    <t>Introduction to Industrial Hygiene for Safety Professionals (Resident)</t>
  </si>
  <si>
    <t>A-493-0035</t>
  </si>
  <si>
    <t>287C</t>
  </si>
  <si>
    <t>OH Contractor</t>
  </si>
  <si>
    <t>Indian Island, WA</t>
  </si>
  <si>
    <t>CDR Schaal</t>
  </si>
  <si>
    <t>Introduction to Naval Safety and Occupational Health (Resident)</t>
  </si>
  <si>
    <t>A-493-0050</t>
  </si>
  <si>
    <t>287T</t>
  </si>
  <si>
    <t>J. Wilson</t>
  </si>
  <si>
    <t>M. Bailey</t>
  </si>
  <si>
    <t>Kekaha, HI (Barking Sands)</t>
  </si>
  <si>
    <t xml:space="preserve">Mishap Investigation (Resident) </t>
  </si>
  <si>
    <t>Key West, FL</t>
  </si>
  <si>
    <t>CDR Schaal + CDR Barrus</t>
  </si>
  <si>
    <t>Kings Bay, GA</t>
  </si>
  <si>
    <t xml:space="preserve">NAVOSH Assessment Tools &amp; Strategies (Global Online) </t>
  </si>
  <si>
    <t>A-493-0889</t>
  </si>
  <si>
    <t>11C5</t>
  </si>
  <si>
    <t>CDR Barrus</t>
  </si>
  <si>
    <t>Kingsville, TX</t>
  </si>
  <si>
    <t>All Hands</t>
  </si>
  <si>
    <t>M. Lacayo</t>
  </si>
  <si>
    <t>Little Creek, VA</t>
  </si>
  <si>
    <t>C. Gum</t>
  </si>
  <si>
    <t>Manchester, WA</t>
  </si>
  <si>
    <t>MARFORRES</t>
  </si>
  <si>
    <t>Marianas</t>
  </si>
  <si>
    <t>Safety Managers Course</t>
  </si>
  <si>
    <t>A-4J-0019</t>
  </si>
  <si>
    <t>28SL/285M</t>
  </si>
  <si>
    <t>N1</t>
  </si>
  <si>
    <t>Marine Corps Base Hawaii</t>
  </si>
  <si>
    <t>Safety Programs Afloat (Resident)</t>
  </si>
  <si>
    <t>A-493-2099</t>
  </si>
  <si>
    <t>438G</t>
  </si>
  <si>
    <t>MCAB Fuji, JP</t>
  </si>
  <si>
    <t xml:space="preserve">Staff Training </t>
  </si>
  <si>
    <t>Staff</t>
  </si>
  <si>
    <t>TSD</t>
  </si>
  <si>
    <t>Submarine Safety Officer</t>
  </si>
  <si>
    <t>F-4J-0020</t>
  </si>
  <si>
    <t>961Z</t>
  </si>
  <si>
    <t>MCAS New River, NC</t>
  </si>
  <si>
    <t>A-493-2017</t>
  </si>
  <si>
    <t>12x3</t>
  </si>
  <si>
    <t>MCB Mujuk, Korea</t>
  </si>
  <si>
    <t xml:space="preserve">Workplace Inspection </t>
  </si>
  <si>
    <t>Misawa, Japan</t>
  </si>
  <si>
    <t>Professional Development Symposium</t>
  </si>
  <si>
    <t>PDS</t>
  </si>
  <si>
    <t>Naples, Italy</t>
  </si>
  <si>
    <t>NAVFAC MIDLANT</t>
  </si>
  <si>
    <t>Classroom Reserved</t>
  </si>
  <si>
    <t>Reserved</t>
  </si>
  <si>
    <t xml:space="preserve">Reserved </t>
  </si>
  <si>
    <t>New London, CT</t>
  </si>
  <si>
    <t>Command Function</t>
  </si>
  <si>
    <t>Function</t>
  </si>
  <si>
    <t>New Orleans, LA</t>
  </si>
  <si>
    <t>Risk Management Information: OSHA Events Module in RMI</t>
  </si>
  <si>
    <t>A-493-3001</t>
  </si>
  <si>
    <t>31V3</t>
  </si>
  <si>
    <t>Newport, RI</t>
  </si>
  <si>
    <t>Risk Management Information: Investigations Module in RMI</t>
  </si>
  <si>
    <t>A-493-3002</t>
  </si>
  <si>
    <t>31V4</t>
  </si>
  <si>
    <t>Norfolk Naval Shipyard</t>
  </si>
  <si>
    <t>Risk Management Information: Memorandum of Final Evaluation (MOFE) in RMI</t>
  </si>
  <si>
    <t>A-493-3003</t>
  </si>
  <si>
    <t>31V5</t>
  </si>
  <si>
    <t>Risk Management Information: Hazard Management Module in RMI</t>
  </si>
  <si>
    <t>A-493-3004</t>
  </si>
  <si>
    <t>31V6</t>
  </si>
  <si>
    <t>Risk Management Information: Data Analytics</t>
  </si>
  <si>
    <t>A-493-3005</t>
  </si>
  <si>
    <t>31V7</t>
  </si>
  <si>
    <t>Risk Management Information: Quality Assurance</t>
  </si>
  <si>
    <t>A-493-3006</t>
  </si>
  <si>
    <t>31V8</t>
  </si>
  <si>
    <t>Risk Management Information: User Administrator</t>
  </si>
  <si>
    <t>A-493-3007</t>
  </si>
  <si>
    <t>31V9</t>
  </si>
  <si>
    <t>Risk Management Information: Motorcycle Unit Safety Tracking Tool (MUSTT)</t>
  </si>
  <si>
    <t>A-493-3008</t>
  </si>
  <si>
    <t>31VA</t>
  </si>
  <si>
    <t>Oceana,VA</t>
  </si>
  <si>
    <t>Risk Management Information: Training</t>
  </si>
  <si>
    <t>A-493-3009</t>
  </si>
  <si>
    <t>31VB</t>
  </si>
  <si>
    <t>Risk Management Information: Inspections- Workplace Inspection</t>
  </si>
  <si>
    <t>A-493-3010</t>
  </si>
  <si>
    <t>31VC</t>
  </si>
  <si>
    <t>Ownings Mills, MD</t>
  </si>
  <si>
    <t>Risk Management Information: Inspections- Program Assessment</t>
  </si>
  <si>
    <t>A-493-3011</t>
  </si>
  <si>
    <t>31VD</t>
  </si>
  <si>
    <t>Pensacola, FL</t>
  </si>
  <si>
    <t>Philadelphia, PA</t>
  </si>
  <si>
    <t>PMRF Barking Sands</t>
  </si>
  <si>
    <t>Point Loma, CA</t>
  </si>
  <si>
    <t>Point Mugu, CA</t>
  </si>
  <si>
    <t>Portsmouth, MA</t>
  </si>
  <si>
    <t>Portsmouth, NH</t>
  </si>
  <si>
    <t>Portsmouth, VA</t>
  </si>
  <si>
    <t>Puget Sound Manchester, WA</t>
  </si>
  <si>
    <t>Puget Sound, WA</t>
  </si>
  <si>
    <t>Quantico, VA</t>
  </si>
  <si>
    <t>Rota, Spain</t>
  </si>
  <si>
    <t>Sam Houston, TX</t>
  </si>
  <si>
    <t>San Clemente Island, CA</t>
  </si>
  <si>
    <t>San Nicolas Island, CA</t>
  </si>
  <si>
    <t>Saratoga Springs, NY</t>
  </si>
  <si>
    <t>Sasebo, Japan</t>
  </si>
  <si>
    <t>Seal Beach, CA</t>
  </si>
  <si>
    <t>Souda Bay, Greece</t>
  </si>
  <si>
    <t>Tinker AFB, OK</t>
  </si>
  <si>
    <t>Tsurumi, Japan</t>
  </si>
  <si>
    <t>Twenty-nine Palms, CA</t>
  </si>
  <si>
    <t>Ventura County, CA</t>
  </si>
  <si>
    <t>Washington, DC</t>
  </si>
  <si>
    <t>White Sands, NM</t>
  </si>
  <si>
    <t>Whiting Field, FL</t>
  </si>
  <si>
    <t>Yorktown, VA</t>
  </si>
  <si>
    <t>Details for Sum of Construction Safety Standards - Location/Course Title: Annapolis, MD</t>
  </si>
  <si>
    <t>Command</t>
  </si>
  <si>
    <t>Location/Course Title</t>
  </si>
  <si>
    <t>Asbestos Management Planner</t>
  </si>
  <si>
    <t>Competent Person for Fall Protection Course</t>
  </si>
  <si>
    <t xml:space="preserve">Confined Space Safety </t>
  </si>
  <si>
    <t>Facility Response Team Five Day</t>
  </si>
  <si>
    <t>Facility Response Team Three Day</t>
  </si>
  <si>
    <t>Fire Protection &amp; Life Safety</t>
  </si>
  <si>
    <t>Hazardous Substance Incident Response Management</t>
  </si>
  <si>
    <t>Hazardous Substance Incident Response Management  Refresher</t>
  </si>
  <si>
    <t xml:space="preserve">Incident Command System 300 </t>
  </si>
  <si>
    <t>Incident Command System 300 Refresher</t>
  </si>
  <si>
    <t xml:space="preserve">Incident Command System 400 </t>
  </si>
  <si>
    <t>Industrial Noise and Hearing Conservation Program</t>
  </si>
  <si>
    <t xml:space="preserve">Oil Hazardous Substance Spill Response Tabletop Exercise </t>
  </si>
  <si>
    <t>Tank Managers Course</t>
  </si>
  <si>
    <t>Totals</t>
  </si>
  <si>
    <t>USFF</t>
  </si>
  <si>
    <t>NAVFACSYSCOM</t>
  </si>
  <si>
    <t>CNIC HQ Environmental</t>
  </si>
  <si>
    <t>USMC</t>
  </si>
  <si>
    <t>NHHC</t>
  </si>
  <si>
    <t>NETC</t>
  </si>
  <si>
    <t>NAVSUP</t>
  </si>
  <si>
    <t>NAVSEA</t>
  </si>
  <si>
    <t>COMFRC</t>
  </si>
  <si>
    <t>COMPACFLT</t>
  </si>
  <si>
    <t>NAVSPECWARCOM</t>
  </si>
  <si>
    <t>BUMED</t>
  </si>
  <si>
    <t>Details for Sum of Competent Person for Fall Protection Course - Location/Course Title: Atsugi, Japan</t>
  </si>
  <si>
    <t>Details for Sum of AST (Arabian Standard Time) - Course Title/Preferred Time Zone: Occupational Health Program Manager (In Development)</t>
  </si>
  <si>
    <t>Course Title/Preferred Time Zone</t>
  </si>
  <si>
    <t>AST (Arabian Standard Time)</t>
  </si>
  <si>
    <t>CET/CEST (Central European Standard Time)</t>
  </si>
  <si>
    <t>EST/EDT (Eastern Standard Time)</t>
  </si>
  <si>
    <t>HST (Hawaii Standard Time)</t>
  </si>
  <si>
    <t>JST (Japan Standard Time)</t>
  </si>
  <si>
    <t>PST/PDT (Pacific Standard Time)</t>
  </si>
  <si>
    <t>CNIC HQ Safety</t>
  </si>
  <si>
    <t>Occupational Health Program Manager (In Development)</t>
  </si>
  <si>
    <t>Last Update</t>
  </si>
  <si>
    <t>Comments</t>
  </si>
  <si>
    <t>PG-LS1</t>
  </si>
  <si>
    <t>QTR 1 All Hands @0900</t>
  </si>
  <si>
    <t>Thanksgiving Potluck</t>
  </si>
  <si>
    <t>Christmas Function</t>
  </si>
  <si>
    <t>QTR 2All Hands @0900</t>
  </si>
  <si>
    <t>QTR 3 All Hands @0900/Potluck</t>
  </si>
  <si>
    <t>July 4th Function</t>
  </si>
  <si>
    <t>QTR 4 All Hands @0900</t>
  </si>
  <si>
    <t>PG-LCS</t>
  </si>
  <si>
    <t>Columbus Day</t>
  </si>
  <si>
    <t>Veterans Day</t>
  </si>
  <si>
    <t>Thanksgiving</t>
  </si>
  <si>
    <t>Christmas Day</t>
  </si>
  <si>
    <t>New Year's Day</t>
  </si>
  <si>
    <t>MLK Day</t>
  </si>
  <si>
    <t>Washington's Birthday</t>
  </si>
  <si>
    <t>Memorial Day</t>
  </si>
  <si>
    <t>Juneteenth</t>
  </si>
  <si>
    <t>Independence Day</t>
  </si>
  <si>
    <t>Labor Day</t>
  </si>
  <si>
    <t>PDS Prep Week</t>
  </si>
  <si>
    <t>PDS Week</t>
  </si>
  <si>
    <t>LTJG Andrew</t>
  </si>
  <si>
    <t>9/10/20245</t>
  </si>
  <si>
    <t>Need Location</t>
  </si>
  <si>
    <t>D. Rodriguez</t>
  </si>
  <si>
    <t>Seabees Gulfport special conveing</t>
  </si>
  <si>
    <t>Date Change</t>
  </si>
  <si>
    <t>Seabees Port Hueneme special conveing</t>
  </si>
  <si>
    <t xml:space="preserve">Seabees Gulfport special convening </t>
  </si>
  <si>
    <t>Last Update: 5/22/2024</t>
  </si>
  <si>
    <t>5/5/2025</t>
  </si>
  <si>
    <t>5/9/2025</t>
  </si>
  <si>
    <t>Key West, FL (CNRSE)</t>
  </si>
  <si>
    <t>CFA YOKOSUKA</t>
  </si>
  <si>
    <t>Manchester, WA (CNRMA)</t>
  </si>
  <si>
    <t>6/23/205</t>
  </si>
  <si>
    <t>Naval Base Point Loma</t>
  </si>
  <si>
    <t>Naval Station Rota</t>
  </si>
  <si>
    <t>NSA Souda Bay</t>
  </si>
  <si>
    <t>MCB Hawaii</t>
  </si>
  <si>
    <t>MCAS Beaufort</t>
  </si>
  <si>
    <t>Andros, Bahamas (CNRSE)</t>
  </si>
  <si>
    <t>NAVSUP FLCS</t>
  </si>
  <si>
    <t>NAVSUP FLCY</t>
  </si>
  <si>
    <t>NAVSUP FLCY (1-2 &amp; 5 May)</t>
  </si>
  <si>
    <t>NAF Atsugi</t>
  </si>
  <si>
    <t>Norfolk Naval Shipyard (NCRMA)</t>
  </si>
  <si>
    <t>Virginia Beach, VA</t>
  </si>
  <si>
    <t>NSA Annapolis</t>
  </si>
  <si>
    <t>Kekaha, HI (Barking Sand)</t>
  </si>
  <si>
    <t xml:space="preserve">NBVC Port Hueneme </t>
  </si>
  <si>
    <t>NALF San Clemente Island</t>
  </si>
  <si>
    <t>NSA Gaeta</t>
  </si>
  <si>
    <t>MCAS Cherry Point</t>
  </si>
  <si>
    <t>Naval Support Facility Diego Garcia (UIC: N68539)</t>
  </si>
  <si>
    <t>Eastern Time Zone</t>
  </si>
  <si>
    <t>Central Europe Focused</t>
  </si>
  <si>
    <t>Pacific Time Zone Focused</t>
  </si>
  <si>
    <r>
      <t>Japan Time Zone Focused   (</t>
    </r>
    <r>
      <rPr>
        <sz val="11"/>
        <color rgb="FFFF0000"/>
        <rFont val="Calibri"/>
        <family val="2"/>
        <scheme val="minor"/>
      </rPr>
      <t>EDT 1900hr on 6/9/2025</t>
    </r>
    <r>
      <rPr>
        <sz val="11"/>
        <color rgb="FF000000"/>
        <rFont val="Calibri"/>
        <family val="2"/>
        <scheme val="minor"/>
      </rPr>
      <t>)</t>
    </r>
  </si>
  <si>
    <t>`</t>
  </si>
  <si>
    <t>Singapore Area Coordinator</t>
  </si>
  <si>
    <t>Yorktown NWS (NCRSE)</t>
  </si>
  <si>
    <t>Details for Sum of Incident Command System 300  - Location/Course Title: Corpus Christi, TX, Command: BUMED (+)</t>
  </si>
  <si>
    <t>Start of the FY 26</t>
  </si>
  <si>
    <t>Progress during FY 26</t>
  </si>
  <si>
    <t>Info</t>
  </si>
  <si>
    <t>Course Offerings</t>
  </si>
  <si>
    <t>Quota per Offering</t>
  </si>
  <si>
    <t>Planned Quotas</t>
  </si>
  <si>
    <t>Fleet Quota Need</t>
  </si>
  <si>
    <t>Difference</t>
  </si>
  <si>
    <t>%</t>
  </si>
  <si>
    <t>Total Registered</t>
  </si>
  <si>
    <t>Total Waitlisted</t>
  </si>
  <si>
    <t>Total Walk-in</t>
  </si>
  <si>
    <t>To date quotas unused (Open quotas+ no shows)</t>
  </si>
  <si>
    <t>Sunk Courses due to unused quotas todate</t>
  </si>
  <si>
    <t>Grads needed this FY towards planned quotas</t>
  </si>
  <si>
    <t># of course completion reports to be processed</t>
  </si>
  <si>
    <t># of courses remaining</t>
  </si>
  <si>
    <t>To date % of graduates towards Fleet Need</t>
  </si>
  <si>
    <t>% of available quotas used</t>
  </si>
  <si>
    <t>% of available quotas used counting in no shows</t>
  </si>
  <si>
    <t>Remaining FY26 QTR 1 Open Quotas</t>
  </si>
  <si>
    <t># of additional grads if all quotas are filled of course results remaining to be processed</t>
  </si>
  <si>
    <t>Difference between completed and fleet need of completed, potentially remaining quotas, and processed courses</t>
  </si>
  <si>
    <t>Planning</t>
  </si>
  <si>
    <t>Need</t>
  </si>
  <si>
    <t>Row Labels</t>
  </si>
  <si>
    <t>Total Planned Quotas in location</t>
  </si>
  <si>
    <t>FY26 Quota Need</t>
  </si>
  <si>
    <t xml:space="preserve"> Support</t>
  </si>
  <si>
    <t>FY26 Need</t>
  </si>
  <si>
    <t>Roster Received by</t>
  </si>
  <si>
    <t>1</t>
  </si>
  <si>
    <t>2</t>
  </si>
  <si>
    <t>Open Quotas</t>
  </si>
  <si>
    <t>QTR</t>
  </si>
  <si>
    <t>Classroom Needed</t>
  </si>
  <si>
    <t>JST Students</t>
  </si>
  <si>
    <t>USMC-Do not spread quotas</t>
  </si>
  <si>
    <t>Possible pilot of updated material</t>
  </si>
  <si>
    <t>QTR 3 All Hands @0900</t>
  </si>
  <si>
    <t xml:space="preserve">Evening Class </t>
  </si>
  <si>
    <t>Pilot #1</t>
  </si>
  <si>
    <t>Pilot #2</t>
  </si>
  <si>
    <t>FY26 FLT Quota Need</t>
  </si>
  <si>
    <t>FY26 Quota Per course</t>
  </si>
  <si>
    <t>FY26 Courses Needed</t>
  </si>
  <si>
    <t>FY26 Courses Needed Round UP</t>
  </si>
  <si>
    <t>FY26 NSETC Course # projections</t>
  </si>
  <si>
    <t>FY26 Hours Per Course</t>
  </si>
  <si>
    <t>FY26 Total Hours to instruct</t>
  </si>
  <si>
    <t>FY 26 NSETC FLT Needs deicit</t>
  </si>
  <si>
    <t>FY26 NSETC % towards fleet need</t>
  </si>
  <si>
    <t>Column3</t>
  </si>
  <si>
    <t>FY25 Total Courses</t>
  </si>
  <si>
    <t>FY25 Quota Per Course</t>
  </si>
  <si>
    <t>FY25 Grads</t>
  </si>
  <si>
    <t>FY25 Fails</t>
  </si>
  <si>
    <t>FY25 No Shows</t>
  </si>
  <si>
    <t>FY25 Average class size</t>
  </si>
  <si>
    <t>FY25 NSETC % towards fleet need</t>
  </si>
  <si>
    <t>Quotas: All Data</t>
  </si>
  <si>
    <t>Courses Needed: All Data</t>
  </si>
  <si>
    <t>Column1</t>
  </si>
  <si>
    <t>FY24 Total Courses</t>
  </si>
  <si>
    <t>FY24 Quotas Per Course</t>
  </si>
  <si>
    <t>FY24 Grads</t>
  </si>
  <si>
    <t>FY24 Fails</t>
  </si>
  <si>
    <t>FY24 Average class size</t>
  </si>
  <si>
    <t>FY24 FLT Quota Need</t>
  </si>
  <si>
    <t>FY24 NSETC % towards fleet need</t>
  </si>
  <si>
    <t>Column2</t>
  </si>
  <si>
    <t>FY23 Total Courses</t>
  </si>
  <si>
    <t>FY23 Quotas Per Course</t>
  </si>
  <si>
    <t>FY23 Grads</t>
  </si>
  <si>
    <t>FY23 Fails</t>
  </si>
  <si>
    <t>FY23 Average class size</t>
  </si>
  <si>
    <t>FY23 FLT Quota Need</t>
  </si>
  <si>
    <t>FY23 NSETC % towards fleet need</t>
  </si>
  <si>
    <t>Column122</t>
  </si>
  <si>
    <t>FY22 Total Courses</t>
  </si>
  <si>
    <t>FY22 Quotas Per Course</t>
  </si>
  <si>
    <t>FY22 Grads</t>
  </si>
  <si>
    <t>FY22 Fails</t>
  </si>
  <si>
    <t>FY22 Average class size</t>
  </si>
  <si>
    <t>FY22 FLT Quota Need</t>
  </si>
  <si>
    <t>FY22 NSETC % towards fleet need</t>
  </si>
  <si>
    <t>Course2</t>
  </si>
  <si>
    <t>Afloat Environmental Protection Coordinator Global Online</t>
  </si>
  <si>
    <t>Aviation Safety Specialist Global Online</t>
  </si>
  <si>
    <t>Fall Protection Program Manager (Global Online)</t>
  </si>
  <si>
    <t>General Industry Safety Standards</t>
  </si>
  <si>
    <t>Hazardous Material Control and Management (HMC&amp;M) Technician Global Online</t>
  </si>
  <si>
    <t xml:space="preserve">Introduction to Hazardous Materials (Ashore) Global Online </t>
  </si>
  <si>
    <t>Introduction to Industrial Hygiene for Safety Professionals Global Online</t>
  </si>
  <si>
    <t>Introduction to Naval Safety and Occupational Health Global Online</t>
  </si>
  <si>
    <t>Machinery &amp; Machine Guarding Standards</t>
  </si>
  <si>
    <t>Mishap Investigation</t>
  </si>
  <si>
    <t>Operational Risk Management Application &amp; Integration Course Global Online</t>
  </si>
  <si>
    <t>Safety Programs Afloat Online</t>
  </si>
  <si>
    <t>Submarine Safety Officer Global Online</t>
  </si>
  <si>
    <t>Workplace Inspectors Course (In Development)</t>
  </si>
  <si>
    <t>(All)</t>
  </si>
  <si>
    <t>Column Labels</t>
  </si>
  <si>
    <t>Values</t>
  </si>
  <si>
    <t>Albany, GA</t>
  </si>
  <si>
    <t xml:space="preserve">Bahrain </t>
  </si>
  <si>
    <t>Camp Lemonnier, Dijbouti</t>
  </si>
  <si>
    <t>Camp Mujuk</t>
  </si>
  <si>
    <t>China Lake, CA</t>
  </si>
  <si>
    <t>Dalhgren, VA</t>
  </si>
  <si>
    <t>El Centro, CA</t>
  </si>
  <si>
    <t xml:space="preserve">Fallon, NV </t>
  </si>
  <si>
    <t>Ft. Worth, TX</t>
  </si>
  <si>
    <t>Kekaha, HI</t>
  </si>
  <si>
    <t xml:space="preserve">Keyport, WA </t>
  </si>
  <si>
    <t>Kingsbay, GA</t>
  </si>
  <si>
    <t>Kingsvile, TX</t>
  </si>
  <si>
    <t>MCAS Iwakuni</t>
  </si>
  <si>
    <t>MCAS New River</t>
  </si>
  <si>
    <t>MCAS Yuma</t>
  </si>
  <si>
    <t>MCSF Blount Island</t>
  </si>
  <si>
    <t>Mechanicburg, PA</t>
  </si>
  <si>
    <t>Mechanicsburg, PA</t>
  </si>
  <si>
    <t>Meridian, MS</t>
  </si>
  <si>
    <t>Mid South, TN</t>
  </si>
  <si>
    <t>Monterey, CA</t>
  </si>
  <si>
    <t>New London, CT/Groton</t>
  </si>
  <si>
    <t>Patuxent River, MD</t>
  </si>
  <si>
    <t>Quantico</t>
  </si>
  <si>
    <t>ROICC Sally, Pensacola, FL</t>
  </si>
  <si>
    <t>Singapore, SG</t>
  </si>
  <si>
    <t>Support Facility Diego Garcia</t>
  </si>
  <si>
    <t>WNY0 Chlinic-Washington, DC</t>
  </si>
  <si>
    <t>Sum of Asbestos Inspector</t>
  </si>
  <si>
    <t>Sum of Asbestos Inspector Refresher</t>
  </si>
  <si>
    <t>Sum of Asbestos Management Planner</t>
  </si>
  <si>
    <t>Sum of Asbestos Management Planner Refresher</t>
  </si>
  <si>
    <t>Sum of Asbestos Supervisor Initial</t>
  </si>
  <si>
    <t>Sum of Asbestos Supervisor Refresher</t>
  </si>
  <si>
    <t>Sum of Competent Person for Fall Protection Course</t>
  </si>
  <si>
    <t xml:space="preserve">Sum of Confined Space Safety </t>
  </si>
  <si>
    <t>Sum of Construction Safety Standards</t>
  </si>
  <si>
    <t>Sum of Emergency Asbestos Response Team</t>
  </si>
  <si>
    <t>Sum of Fire Protection &amp; Life Safety</t>
  </si>
  <si>
    <t>Sum of Industrial Noise and Hearing Conservation Program</t>
  </si>
  <si>
    <t>Sum of Occupational Health Program Manager (In development)</t>
  </si>
  <si>
    <t>Sum of Respiratory Protection Program Management</t>
  </si>
  <si>
    <t xml:space="preserve">Sum of Safety Managers Course </t>
  </si>
  <si>
    <t>Sum of Workplace Inspection Course (In Development)</t>
  </si>
  <si>
    <t>Sum of AST</t>
  </si>
  <si>
    <t>Sum of CET/CEST</t>
  </si>
  <si>
    <t>Sum of EST/EDT</t>
  </si>
  <si>
    <t>Sum of HST</t>
  </si>
  <si>
    <t>Sum of JST</t>
  </si>
  <si>
    <t xml:space="preserve">Sum of PST/PDT </t>
  </si>
  <si>
    <t>Sum</t>
  </si>
  <si>
    <t>Aviation Safety Specialist  (Global Online)</t>
  </si>
  <si>
    <t>General Industry Safety Standards  (Global Online)</t>
  </si>
  <si>
    <t>Hazardous Material Control and Management (HMC&amp;M) Technician  (Global Online)</t>
  </si>
  <si>
    <t>Introduction to Hazardous Materials Ashore  (Global Online)</t>
  </si>
  <si>
    <t>Introduction to Industrial Hygiene for Safety Professionals  (Global Online)</t>
  </si>
  <si>
    <t>Introduction to Naval Safety and Occupational Health (Global Online)</t>
  </si>
  <si>
    <t>Machinery &amp; Machine Guarding Standards  (Global Online)</t>
  </si>
  <si>
    <t>Mishap Investigation  (Global Online)</t>
  </si>
  <si>
    <t>Operational Risk Management Application &amp; Integration Course  (Global Online)</t>
  </si>
  <si>
    <t>Safety Programs Afloat  (Global Online)</t>
  </si>
  <si>
    <t>Submarine Safety Officer  (Global Online)</t>
  </si>
  <si>
    <t>Details for Sum of Facility Response Team Three Day - Location/Course Title: Andros, Bahamas (CNRSE ADDED), Command: BUMED (+)</t>
  </si>
  <si>
    <t>Andros, Bahamas (CNRSE ADDED)</t>
  </si>
  <si>
    <t> </t>
  </si>
  <si>
    <t>Details for Sum of Competent Person for Fall Protection Course - Location/Course Title: Pearl Harbor, HI, Command: BUMED (+)</t>
  </si>
  <si>
    <t>Details for Sum of Hazardous Substance Incident Response Management  Refresher - Location/Course Title: Norfolk, VA, Command: BUMED (+)</t>
  </si>
  <si>
    <t>Details for Sum of Hazardous Substance Incident Response Management  Refresher - Location/Course Title: Crane, IN, Command: BUMED (+)</t>
  </si>
  <si>
    <t>Naval Base San Diego</t>
  </si>
  <si>
    <t>Joint Base Pearl Harbor</t>
  </si>
  <si>
    <t>Naval Base Guam</t>
  </si>
  <si>
    <t>NSF Diego Garcia</t>
  </si>
  <si>
    <t>NBVC Port Hueneme</t>
  </si>
  <si>
    <t>Naval Station Mayport</t>
  </si>
  <si>
    <t>CFA Sasebo</t>
  </si>
  <si>
    <t>Naval Station Guantanamo Bay</t>
  </si>
  <si>
    <t>NSA Panama City</t>
  </si>
  <si>
    <t>MCAS Beaufort (USMC FUNDED)</t>
  </si>
  <si>
    <t>MCAS Cherry Point (USMC FUNDED)</t>
  </si>
  <si>
    <t>MCB Camp LeJeune (USMC FUNDED)</t>
  </si>
  <si>
    <t>Naval Air Station Key West</t>
  </si>
  <si>
    <t>CFA Yokosuka</t>
  </si>
  <si>
    <t>NSB Kings Bay</t>
  </si>
  <si>
    <t>Naval Station Rota Spain</t>
  </si>
  <si>
    <t>NBK - Bremerton</t>
  </si>
  <si>
    <t>NAVFAC Mid-Atlantic</t>
  </si>
  <si>
    <t>Naval Base Coronado</t>
  </si>
  <si>
    <t>Portsmouth Naval Shipyard, NH</t>
  </si>
  <si>
    <t>NSB New London/Groton</t>
  </si>
  <si>
    <t>MCAS Iwakuni (USMC FUNDED)</t>
  </si>
  <si>
    <t>MCB Hawaii (USMC FUNDED)</t>
  </si>
  <si>
    <t>CFA Okinawa</t>
  </si>
  <si>
    <t>NUWC Autec</t>
  </si>
  <si>
    <t>NSA Bahrain</t>
  </si>
  <si>
    <t>DFSP Sasebo</t>
  </si>
  <si>
    <t>NAS Pensacola</t>
  </si>
  <si>
    <t>DFSP Hakozaki</t>
  </si>
  <si>
    <t>DFSP Tsurumi</t>
  </si>
  <si>
    <t>DFSP Hachinohe</t>
  </si>
  <si>
    <t>JEB Little Creek -  Fort Story (Virginia Beach)</t>
  </si>
  <si>
    <t>NWS Earle (Colts Neck, NJ)</t>
  </si>
  <si>
    <t>NSF Indian Head</t>
  </si>
  <si>
    <t>Naval Air Station Whidbey Island</t>
  </si>
  <si>
    <t>Naval Station Newport</t>
  </si>
  <si>
    <t>NBK - Bangor</t>
  </si>
  <si>
    <t>NAS Patuxent River</t>
  </si>
  <si>
    <t>Naval Station Great Lakes</t>
  </si>
  <si>
    <t>NAVMAG Indian Island</t>
  </si>
  <si>
    <t>Naval Station Everett</t>
  </si>
  <si>
    <t>DFSP Manchester</t>
  </si>
  <si>
    <t>NAS Lemoore</t>
  </si>
  <si>
    <t>Redzikowo, Poland</t>
  </si>
  <si>
    <t>Deveselu, Romania</t>
  </si>
  <si>
    <t>Fallon, NV</t>
  </si>
  <si>
    <t>USMC FUNDED</t>
  </si>
  <si>
    <t>Funded</t>
  </si>
  <si>
    <t>Unfunded</t>
  </si>
  <si>
    <t>Funding Status</t>
  </si>
  <si>
    <t>Command Name</t>
  </si>
  <si>
    <t>Camp Lemonnier, Djibouti</t>
  </si>
  <si>
    <t>China Lake (Ridgecrest), CA</t>
  </si>
  <si>
    <t>CLDJ, Djibouti</t>
  </si>
  <si>
    <t>Fort Worth, TX</t>
  </si>
  <si>
    <t>Hachinohe, Japan (NAVSUP FLCY)</t>
  </si>
  <si>
    <t>Hakozaki, Japan (NAVSUP FLCY)</t>
  </si>
  <si>
    <t>MCAB Fuji</t>
  </si>
  <si>
    <t>MCAGCC Twentynine Palms</t>
  </si>
  <si>
    <t>MCB Butler</t>
  </si>
  <si>
    <t>MCB Camp Lejeune</t>
  </si>
  <si>
    <t>MCB Camp Pendleton</t>
  </si>
  <si>
    <t>MCB Mujuk</t>
  </si>
  <si>
    <t>MCB Okinawa</t>
  </si>
  <si>
    <t>MCB Quantico</t>
  </si>
  <si>
    <t>MCLB 29 Palms</t>
  </si>
  <si>
    <t>MCLB Albany</t>
  </si>
  <si>
    <t>MCRD Parris Island</t>
  </si>
  <si>
    <t>MCRD San Diego</t>
  </si>
  <si>
    <t>Support Facilit Diego Garcia</t>
  </si>
  <si>
    <t>Tsurumi, Japan (NAVSUP FLCY)</t>
  </si>
  <si>
    <t>Yorktown, Va</t>
  </si>
  <si>
    <t>Sum of Facility Response Team Five Day</t>
  </si>
  <si>
    <t>Sum of Facility Response Team Three Day</t>
  </si>
  <si>
    <t>Sum of Hazardous Substance Incident Response Management</t>
  </si>
  <si>
    <t>Sum of Hazardous Substance Incident Response Management  Refresher</t>
  </si>
  <si>
    <t xml:space="preserve">Sum of Incident Command System 300 </t>
  </si>
  <si>
    <t>Sum of Incident Command System 300 Refresher</t>
  </si>
  <si>
    <t xml:space="preserve">Sum of Incident Command System 400 </t>
  </si>
  <si>
    <t xml:space="preserve">Sum of Oil Hazardous Substance Spill Response Tabletop Exercise </t>
  </si>
  <si>
    <t>Sum of Tank Managers Course</t>
  </si>
  <si>
    <t>Afloat Environmental Protection Coordinator (Global Online)</t>
  </si>
  <si>
    <t>FY25 As of 9 June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</si>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</sst>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hhmm"/>
    <numFmt numFmtId="166" formatCode="0.0"/>
    <numFmt numFmtId="167" formatCode="#,##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8"/>
      <color rgb="FF000000"/>
      <name val="Calibri"/>
      <family val="2"/>
    </font>
    <font>
      <strike/>
      <sz val="11"/>
      <color rgb="FF000000"/>
      <name val="Calibri"/>
      <family val="2"/>
      <scheme val="minor"/>
    </font>
    <font>
      <sz val="11"/>
      <color rgb="FF242424"/>
      <name val="Calibri"/>
      <family val="2"/>
    </font>
    <font>
      <b/>
      <sz val="11"/>
      <color theme="9" tint="-0.24997711111789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2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scheme val="minor"/>
    </font>
    <font>
      <sz val="11"/>
      <name val="Aptos Narrow"/>
      <family val="2"/>
    </font>
    <font>
      <b/>
      <sz val="11"/>
      <color rgb="FF000000"/>
      <name val="Calibri"/>
      <family val="2"/>
      <scheme val="minor"/>
    </font>
    <font>
      <sz val="11"/>
      <color theme="0"/>
      <name val="Calibri"/>
      <scheme val="minor"/>
    </font>
    <font>
      <sz val="10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6"/>
      </patternFill>
    </fill>
    <fill>
      <patternFill patternType="solid">
        <fgColor rgb="FFDDEBF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DF79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/>
    <xf numFmtId="0" fontId="0" fillId="0" borderId="0" xfId="0" pivotButton="1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Protection="1">
      <protection locked="0"/>
    </xf>
    <xf numFmtId="0" fontId="6" fillId="4" borderId="1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left" vertical="center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7" fillId="0" borderId="12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1" fontId="7" fillId="0" borderId="3" xfId="0" applyNumberFormat="1" applyFont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horizontal="center" vertical="center" wrapText="1"/>
      <protection hidden="1"/>
    </xf>
    <xf numFmtId="10" fontId="7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6" fillId="5" borderId="10" xfId="1" applyNumberFormat="1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10" fontId="6" fillId="6" borderId="3" xfId="0" applyNumberFormat="1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left" vertical="center"/>
    </xf>
    <xf numFmtId="0" fontId="6" fillId="7" borderId="12" xfId="0" applyFont="1" applyFill="1" applyBorder="1" applyAlignment="1">
      <alignment horizontal="center" vertical="center" wrapText="1"/>
    </xf>
    <xf numFmtId="10" fontId="6" fillId="6" borderId="7" xfId="0" applyNumberFormat="1" applyFont="1" applyFill="1" applyBorder="1" applyAlignment="1">
      <alignment horizontal="center" vertical="center" wrapText="1"/>
    </xf>
    <xf numFmtId="10" fontId="7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 applyProtection="1">
      <alignment horizontal="left" vertical="center" wrapText="1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5" fillId="2" borderId="0" xfId="0" applyFont="1" applyFill="1"/>
    <xf numFmtId="9" fontId="0" fillId="2" borderId="0" xfId="1" applyFont="1" applyFill="1"/>
    <xf numFmtId="0" fontId="9" fillId="0" borderId="0" xfId="0" applyFont="1"/>
    <xf numFmtId="0" fontId="10" fillId="8" borderId="13" xfId="0" applyFont="1" applyFill="1" applyBorder="1" applyAlignment="1" applyProtection="1">
      <alignment horizontal="left" vertical="center" wrapText="1"/>
      <protection hidden="1"/>
    </xf>
    <xf numFmtId="0" fontId="12" fillId="0" borderId="0" xfId="0" applyFont="1"/>
    <xf numFmtId="0" fontId="12" fillId="0" borderId="17" xfId="0" applyFont="1" applyBorder="1"/>
    <xf numFmtId="14" fontId="12" fillId="0" borderId="0" xfId="0" applyNumberFormat="1" applyFont="1" applyAlignment="1">
      <alignment horizontal="center"/>
    </xf>
    <xf numFmtId="0" fontId="12" fillId="0" borderId="19" xfId="0" applyFont="1" applyBorder="1"/>
    <xf numFmtId="0" fontId="2" fillId="0" borderId="0" xfId="0" applyFont="1" applyAlignment="1">
      <alignment horizontal="center"/>
    </xf>
    <xf numFmtId="1" fontId="9" fillId="0" borderId="0" xfId="0" applyNumberFormat="1" applyFont="1" applyAlignment="1">
      <alignment horizontal="right"/>
    </xf>
    <xf numFmtId="0" fontId="7" fillId="0" borderId="18" xfId="0" applyFont="1" applyBorder="1" applyAlignment="1" applyProtection="1">
      <alignment horizontal="center" vertical="center" wrapText="1"/>
      <protection hidden="1"/>
    </xf>
    <xf numFmtId="14" fontId="13" fillId="0" borderId="20" xfId="0" applyNumberFormat="1" applyFont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  <protection hidden="1"/>
    </xf>
    <xf numFmtId="0" fontId="0" fillId="2" borderId="0" xfId="0" applyFill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9" borderId="3" xfId="0" applyFill="1" applyBorder="1"/>
    <xf numFmtId="0" fontId="7" fillId="9" borderId="3" xfId="0" applyFont="1" applyFill="1" applyBorder="1" applyAlignment="1" applyProtection="1">
      <alignment horizontal="center" vertical="center" wrapText="1"/>
      <protection hidden="1"/>
    </xf>
    <xf numFmtId="0" fontId="10" fillId="5" borderId="28" xfId="0" applyFont="1" applyFill="1" applyBorder="1" applyAlignment="1">
      <alignment horizontal="center" vertical="center" wrapText="1"/>
    </xf>
    <xf numFmtId="3" fontId="10" fillId="6" borderId="29" xfId="0" applyNumberFormat="1" applyFont="1" applyFill="1" applyBorder="1" applyAlignment="1">
      <alignment horizontal="center" vertical="center"/>
    </xf>
    <xf numFmtId="164" fontId="0" fillId="0" borderId="3" xfId="1" applyNumberFormat="1" applyFont="1" applyFill="1" applyBorder="1" applyAlignment="1">
      <alignment horizontal="center"/>
    </xf>
    <xf numFmtId="9" fontId="0" fillId="0" borderId="3" xfId="1" applyFont="1" applyFill="1" applyBorder="1"/>
    <xf numFmtId="0" fontId="2" fillId="0" borderId="0" xfId="0" applyFont="1" applyAlignment="1" applyProtection="1">
      <alignment horizontal="left" vertical="center"/>
      <protection hidden="1"/>
    </xf>
    <xf numFmtId="0" fontId="10" fillId="5" borderId="0" xfId="0" applyFont="1" applyFill="1" applyAlignment="1">
      <alignment horizontal="center" vertical="center"/>
    </xf>
    <xf numFmtId="0" fontId="10" fillId="0" borderId="3" xfId="0" applyFont="1" applyBorder="1" applyAlignment="1" applyProtection="1">
      <alignment horizontal="left" vertical="center"/>
      <protection hidden="1"/>
    </xf>
    <xf numFmtId="0" fontId="10" fillId="8" borderId="3" xfId="0" applyFont="1" applyFill="1" applyBorder="1" applyAlignment="1" applyProtection="1">
      <alignment horizontal="left" vertical="center"/>
      <protection hidden="1"/>
    </xf>
    <xf numFmtId="0" fontId="0" fillId="2" borderId="3" xfId="0" applyFill="1" applyBorder="1"/>
    <xf numFmtId="0" fontId="10" fillId="5" borderId="28" xfId="0" applyFont="1" applyFill="1" applyBorder="1" applyAlignment="1">
      <alignment horizontal="left" vertical="center"/>
    </xf>
    <xf numFmtId="0" fontId="14" fillId="0" borderId="3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10" fontId="0" fillId="0" borderId="3" xfId="1" applyNumberFormat="1" applyFont="1" applyFill="1" applyBorder="1"/>
    <xf numFmtId="14" fontId="12" fillId="0" borderId="17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165" fontId="12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 applyProtection="1">
      <protection locked="0"/>
    </xf>
    <xf numFmtId="0" fontId="9" fillId="0" borderId="0" xfId="0" applyFont="1" applyAlignment="1">
      <alignment horizontal="center" vertical="center" wrapText="1"/>
    </xf>
    <xf numFmtId="165" fontId="9" fillId="0" borderId="0" xfId="0" quotePrefix="1" applyNumberFormat="1" applyFont="1" applyAlignment="1">
      <alignment horizontal="center" vertical="center"/>
    </xf>
    <xf numFmtId="1" fontId="9" fillId="0" borderId="0" xfId="0" applyNumberFormat="1" applyFont="1" applyAlignment="1">
      <alignment horizontal="right" vertical="center"/>
    </xf>
    <xf numFmtId="14" fontId="9" fillId="0" borderId="17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14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14" fontId="12" fillId="0" borderId="0" xfId="0" applyNumberFormat="1" applyFont="1" applyAlignment="1">
      <alignment horizontal="center" wrapText="1"/>
    </xf>
    <xf numFmtId="0" fontId="9" fillId="0" borderId="17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14" fontId="9" fillId="0" borderId="22" xfId="0" applyNumberFormat="1" applyFont="1" applyBorder="1" applyAlignment="1">
      <alignment horizontal="center" vertical="center"/>
    </xf>
    <xf numFmtId="14" fontId="9" fillId="0" borderId="23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left"/>
    </xf>
    <xf numFmtId="49" fontId="11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4" fontId="9" fillId="0" borderId="0" xfId="0" applyNumberFormat="1" applyFont="1" applyAlignment="1">
      <alignment vertical="center"/>
    </xf>
    <xf numFmtId="0" fontId="9" fillId="0" borderId="17" xfId="0" applyFont="1" applyBorder="1" applyAlignment="1">
      <alignment horizontal="left" vertical="center" wrapText="1"/>
    </xf>
    <xf numFmtId="0" fontId="9" fillId="0" borderId="3" xfId="0" applyFont="1" applyBorder="1"/>
    <xf numFmtId="0" fontId="9" fillId="0" borderId="17" xfId="0" applyFont="1" applyBorder="1" applyAlignment="1">
      <alignment horizontal="left" vertical="center"/>
    </xf>
    <xf numFmtId="0" fontId="12" fillId="0" borderId="3" xfId="0" applyFont="1" applyBorder="1"/>
    <xf numFmtId="0" fontId="9" fillId="0" borderId="17" xfId="0" applyFont="1" applyBorder="1"/>
    <xf numFmtId="14" fontId="12" fillId="0" borderId="17" xfId="0" applyNumberFormat="1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14" fontId="12" fillId="0" borderId="3" xfId="0" applyNumberFormat="1" applyFont="1" applyBorder="1" applyAlignment="1">
      <alignment horizontal="center"/>
    </xf>
    <xf numFmtId="14" fontId="9" fillId="0" borderId="19" xfId="0" applyNumberFormat="1" applyFont="1" applyBorder="1" applyAlignment="1">
      <alignment horizontal="center" vertical="center"/>
    </xf>
    <xf numFmtId="0" fontId="17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>
      <alignment horizontal="left" vertical="center" wrapText="1"/>
    </xf>
    <xf numFmtId="14" fontId="9" fillId="0" borderId="0" xfId="0" applyNumberFormat="1" applyFont="1" applyAlignment="1" applyProtection="1">
      <alignment horizontal="right" vertical="center"/>
      <protection locked="0"/>
    </xf>
    <xf numFmtId="14" fontId="9" fillId="0" borderId="0" xfId="0" applyNumberFormat="1" applyFont="1" applyAlignment="1" applyProtection="1">
      <alignment horizontal="center" vertical="center"/>
      <protection locked="0"/>
    </xf>
    <xf numFmtId="1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 wrapText="1"/>
    </xf>
    <xf numFmtId="0" fontId="18" fillId="0" borderId="0" xfId="0" applyFont="1"/>
    <xf numFmtId="0" fontId="9" fillId="0" borderId="24" xfId="0" applyFont="1" applyBorder="1" applyAlignment="1">
      <alignment horizontal="left"/>
    </xf>
    <xf numFmtId="0" fontId="9" fillId="0" borderId="24" xfId="0" applyFont="1" applyBorder="1" applyAlignment="1">
      <alignment horizontal="center" vertical="center"/>
    </xf>
    <xf numFmtId="14" fontId="9" fillId="0" borderId="24" xfId="0" applyNumberFormat="1" applyFont="1" applyBorder="1" applyAlignment="1">
      <alignment horizontal="center" vertical="center"/>
    </xf>
    <xf numFmtId="1" fontId="9" fillId="0" borderId="24" xfId="0" applyNumberFormat="1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9" fillId="2" borderId="0" xfId="0" applyFont="1" applyFill="1"/>
    <xf numFmtId="0" fontId="9" fillId="2" borderId="0" xfId="0" applyFont="1" applyFill="1" applyAlignment="1">
      <alignment horizontal="left"/>
    </xf>
    <xf numFmtId="3" fontId="0" fillId="0" borderId="3" xfId="0" applyNumberForma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14" fontId="9" fillId="2" borderId="0" xfId="0" applyNumberFormat="1" applyFont="1" applyFill="1" applyAlignment="1">
      <alignment horizontal="center" vertical="center"/>
    </xf>
    <xf numFmtId="165" fontId="1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5" fontId="9" fillId="2" borderId="0" xfId="0" applyNumberFormat="1" applyFont="1" applyFill="1" applyAlignment="1">
      <alignment horizontal="center" vertical="center"/>
    </xf>
    <xf numFmtId="0" fontId="9" fillId="10" borderId="0" xfId="0" applyFont="1" applyFill="1"/>
    <xf numFmtId="0" fontId="9" fillId="10" borderId="0" xfId="0" applyFont="1" applyFill="1" applyAlignment="1">
      <alignment horizontal="left"/>
    </xf>
    <xf numFmtId="0" fontId="9" fillId="10" borderId="0" xfId="0" applyFont="1" applyFill="1" applyAlignment="1">
      <alignment horizontal="center" vertical="center"/>
    </xf>
    <xf numFmtId="14" fontId="12" fillId="10" borderId="0" xfId="0" applyNumberFormat="1" applyFont="1" applyFill="1" applyAlignment="1">
      <alignment horizontal="center"/>
    </xf>
    <xf numFmtId="14" fontId="9" fillId="10" borderId="0" xfId="0" applyNumberFormat="1" applyFont="1" applyFill="1" applyAlignment="1">
      <alignment horizontal="center" vertical="center"/>
    </xf>
    <xf numFmtId="165" fontId="12" fillId="10" borderId="0" xfId="0" applyNumberFormat="1" applyFont="1" applyFill="1" applyAlignment="1">
      <alignment horizontal="center"/>
    </xf>
    <xf numFmtId="0" fontId="9" fillId="10" borderId="0" xfId="0" applyFont="1" applyFill="1" applyAlignment="1">
      <alignment horizontal="center"/>
    </xf>
    <xf numFmtId="20" fontId="9" fillId="0" borderId="0" xfId="0" applyNumberFormat="1" applyFont="1" applyAlignment="1">
      <alignment horizontal="center" vertical="center"/>
    </xf>
    <xf numFmtId="14" fontId="12" fillId="2" borderId="0" xfId="0" applyNumberFormat="1" applyFont="1" applyFill="1" applyAlignment="1">
      <alignment horizontal="center"/>
    </xf>
    <xf numFmtId="14" fontId="1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3" fillId="0" borderId="0" xfId="0" applyFont="1"/>
    <xf numFmtId="14" fontId="0" fillId="0" borderId="0" xfId="0" applyNumberFormat="1" applyAlignment="1">
      <alignment horizontal="center" vertical="center"/>
    </xf>
    <xf numFmtId="165" fontId="23" fillId="0" borderId="0" xfId="0" applyNumberFormat="1" applyFont="1" applyAlignment="1">
      <alignment horizontal="center"/>
    </xf>
    <xf numFmtId="165" fontId="9" fillId="0" borderId="0" xfId="0" applyNumberFormat="1" applyFont="1" applyAlignment="1" applyProtection="1">
      <alignment horizontal="center" vertical="center"/>
      <protection locked="0"/>
    </xf>
    <xf numFmtId="165" fontId="24" fillId="0" borderId="0" xfId="0" applyNumberFormat="1" applyFont="1" applyAlignment="1">
      <alignment horizontal="center" vertical="center"/>
    </xf>
    <xf numFmtId="0" fontId="9" fillId="0" borderId="24" xfId="0" applyFont="1" applyBorder="1"/>
    <xf numFmtId="0" fontId="9" fillId="0" borderId="24" xfId="0" applyFont="1" applyBorder="1" applyAlignment="1">
      <alignment horizontal="center"/>
    </xf>
    <xf numFmtId="14" fontId="23" fillId="0" borderId="0" xfId="0" applyNumberFormat="1" applyFont="1" applyAlignment="1">
      <alignment horizontal="center"/>
    </xf>
    <xf numFmtId="0" fontId="12" fillId="2" borderId="0" xfId="0" applyFont="1" applyFill="1"/>
    <xf numFmtId="1" fontId="9" fillId="2" borderId="0" xfId="0" applyNumberFormat="1" applyFont="1" applyFill="1" applyAlignment="1">
      <alignment horizontal="center"/>
    </xf>
    <xf numFmtId="1" fontId="9" fillId="2" borderId="0" xfId="0" applyNumberFormat="1" applyFont="1" applyFill="1" applyAlignment="1">
      <alignment horizontal="right"/>
    </xf>
    <xf numFmtId="165" fontId="9" fillId="2" borderId="0" xfId="0" quotePrefix="1" applyNumberFormat="1" applyFont="1" applyFill="1" applyAlignment="1">
      <alignment horizontal="center" vertical="center"/>
    </xf>
    <xf numFmtId="0" fontId="9" fillId="2" borderId="17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12" borderId="7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4" fillId="0" borderId="3" xfId="0" applyFon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49" fontId="25" fillId="0" borderId="3" xfId="0" applyNumberFormat="1" applyFont="1" applyBorder="1" applyAlignment="1">
      <alignment horizontal="center"/>
    </xf>
    <xf numFmtId="3" fontId="0" fillId="2" borderId="8" xfId="0" applyNumberFormat="1" applyFill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0" fontId="26" fillId="2" borderId="31" xfId="0" applyFont="1" applyFill="1" applyBorder="1" applyAlignment="1">
      <alignment horizontal="center"/>
    </xf>
    <xf numFmtId="3" fontId="5" fillId="15" borderId="31" xfId="0" applyNumberFormat="1" applyFont="1" applyFill="1" applyBorder="1" applyAlignment="1">
      <alignment horizontal="center"/>
    </xf>
    <xf numFmtId="3" fontId="5" fillId="2" borderId="31" xfId="0" applyNumberFormat="1" applyFont="1" applyFill="1" applyBorder="1" applyAlignment="1">
      <alignment horizontal="center"/>
    </xf>
    <xf numFmtId="0" fontId="25" fillId="0" borderId="3" xfId="0" applyFont="1" applyBorder="1" applyAlignment="1">
      <alignment horizontal="left"/>
    </xf>
    <xf numFmtId="0" fontId="25" fillId="14" borderId="3" xfId="0" applyFont="1" applyFill="1" applyBorder="1" applyAlignment="1">
      <alignment horizontal="left"/>
    </xf>
    <xf numFmtId="0" fontId="26" fillId="2" borderId="30" xfId="0" applyFont="1" applyFill="1" applyBorder="1" applyAlignment="1">
      <alignment horizontal="left"/>
    </xf>
    <xf numFmtId="0" fontId="25" fillId="0" borderId="18" xfId="0" applyFont="1" applyBorder="1" applyAlignment="1">
      <alignment horizontal="left"/>
    </xf>
    <xf numFmtId="0" fontId="25" fillId="13" borderId="18" xfId="0" applyFont="1" applyFill="1" applyBorder="1" applyAlignment="1">
      <alignment horizontal="left"/>
    </xf>
    <xf numFmtId="0" fontId="26" fillId="2" borderId="31" xfId="0" applyFont="1" applyFill="1" applyBorder="1" applyAlignment="1">
      <alignment horizontal="left"/>
    </xf>
    <xf numFmtId="3" fontId="0" fillId="16" borderId="3" xfId="0" applyNumberForma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3" fontId="0" fillId="0" borderId="0" xfId="0" applyNumberFormat="1"/>
    <xf numFmtId="1" fontId="9" fillId="0" borderId="0" xfId="0" applyNumberFormat="1" applyFont="1" applyAlignment="1">
      <alignment horizontal="center" vertical="center" wrapText="1"/>
    </xf>
    <xf numFmtId="3" fontId="5" fillId="17" borderId="31" xfId="0" applyNumberFormat="1" applyFont="1" applyFill="1" applyBorder="1" applyAlignment="1">
      <alignment horizontal="center"/>
    </xf>
    <xf numFmtId="0" fontId="25" fillId="0" borderId="3" xfId="0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3" fontId="0" fillId="2" borderId="3" xfId="0" applyNumberFormat="1" applyFill="1" applyBorder="1" applyAlignment="1">
      <alignment horizontal="center" wrapText="1"/>
    </xf>
    <xf numFmtId="3" fontId="0" fillId="3" borderId="18" xfId="0" applyNumberFormat="1" applyFill="1" applyBorder="1" applyAlignment="1">
      <alignment horizontal="center" wrapText="1"/>
    </xf>
    <xf numFmtId="166" fontId="0" fillId="3" borderId="33" xfId="0" applyNumberFormat="1" applyFill="1" applyBorder="1" applyAlignment="1">
      <alignment horizontal="center" wrapText="1"/>
    </xf>
    <xf numFmtId="166" fontId="27" fillId="9" borderId="0" xfId="0" applyNumberFormat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3" fontId="0" fillId="3" borderId="37" xfId="0" applyNumberFormat="1" applyFill="1" applyBorder="1" applyAlignment="1">
      <alignment horizontal="center" wrapText="1"/>
    </xf>
    <xf numFmtId="166" fontId="0" fillId="3" borderId="10" xfId="0" applyNumberFormat="1" applyFill="1" applyBorder="1" applyAlignment="1">
      <alignment horizontal="center" wrapText="1"/>
    </xf>
    <xf numFmtId="3" fontId="0" fillId="2" borderId="38" xfId="0" applyNumberFormat="1" applyFill="1" applyBorder="1" applyAlignment="1">
      <alignment horizontal="center" wrapText="1"/>
    </xf>
    <xf numFmtId="3" fontId="0" fillId="6" borderId="38" xfId="0" applyNumberFormat="1" applyFill="1" applyBorder="1" applyAlignment="1">
      <alignment horizontal="center" wrapText="1"/>
    </xf>
    <xf numFmtId="3" fontId="27" fillId="9" borderId="39" xfId="0" applyNumberFormat="1" applyFont="1" applyFill="1" applyBorder="1" applyAlignment="1">
      <alignment horizontal="center" wrapText="1"/>
    </xf>
    <xf numFmtId="3" fontId="2" fillId="9" borderId="39" xfId="0" applyNumberFormat="1" applyFont="1" applyFill="1" applyBorder="1" applyAlignment="1">
      <alignment horizontal="center" wrapText="1"/>
    </xf>
    <xf numFmtId="166" fontId="0" fillId="2" borderId="3" xfId="0" applyNumberFormat="1" applyFill="1" applyBorder="1" applyAlignment="1">
      <alignment horizontal="center" wrapText="1"/>
    </xf>
    <xf numFmtId="0" fontId="0" fillId="2" borderId="40" xfId="0" applyFill="1" applyBorder="1" applyAlignment="1">
      <alignment horizontal="center" wrapText="1"/>
    </xf>
    <xf numFmtId="1" fontId="0" fillId="0" borderId="0" xfId="0" applyNumberFormat="1" applyAlignment="1">
      <alignment wrapText="1"/>
    </xf>
    <xf numFmtId="0" fontId="7" fillId="0" borderId="33" xfId="0" applyFont="1" applyBorder="1" applyAlignment="1">
      <alignment horizontal="center" vertical="center" wrapText="1"/>
    </xf>
    <xf numFmtId="0" fontId="9" fillId="3" borderId="0" xfId="0" applyFont="1" applyFill="1" applyAlignment="1">
      <alignment horizontal="left"/>
    </xf>
    <xf numFmtId="1" fontId="9" fillId="3" borderId="0" xfId="0" applyNumberFormat="1" applyFont="1" applyFill="1" applyAlignment="1">
      <alignment horizontal="center" vertical="center"/>
    </xf>
    <xf numFmtId="1" fontId="9" fillId="0" borderId="0" xfId="0" applyNumberFormat="1" applyFont="1" applyAlignment="1">
      <alignment horizontal="right" vertical="center" wrapText="1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/>
    <xf numFmtId="0" fontId="6" fillId="7" borderId="18" xfId="0" applyFont="1" applyFill="1" applyBorder="1" applyAlignment="1">
      <alignment horizontal="center" vertical="center" wrapText="1"/>
    </xf>
    <xf numFmtId="15" fontId="2" fillId="0" borderId="0" xfId="0" applyNumberFormat="1" applyFont="1" applyAlignment="1" applyProtection="1">
      <alignment horizontal="left" vertical="center" wrapText="1"/>
      <protection hidden="1"/>
    </xf>
    <xf numFmtId="0" fontId="6" fillId="2" borderId="4" xfId="0" applyFont="1" applyFill="1" applyBorder="1" applyAlignment="1">
      <alignment horizontal="center" vertical="top" wrapText="1"/>
    </xf>
    <xf numFmtId="0" fontId="6" fillId="2" borderId="27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17" borderId="34" xfId="0" applyFont="1" applyFill="1" applyBorder="1" applyAlignment="1">
      <alignment horizontal="center" vertical="top" wrapText="1"/>
    </xf>
    <xf numFmtId="0" fontId="6" fillId="17" borderId="35" xfId="0" applyFont="1" applyFill="1" applyBorder="1" applyAlignment="1">
      <alignment horizontal="center" vertical="top" wrapText="1"/>
    </xf>
    <xf numFmtId="0" fontId="6" fillId="9" borderId="0" xfId="0" applyFont="1" applyFill="1" applyAlignment="1">
      <alignment horizontal="center" vertical="top" wrapText="1"/>
    </xf>
    <xf numFmtId="0" fontId="6" fillId="18" borderId="32" xfId="0" applyFont="1" applyFill="1" applyBorder="1" applyAlignment="1">
      <alignment horizontal="center" vertical="top" wrapText="1"/>
    </xf>
    <xf numFmtId="0" fontId="6" fillId="18" borderId="5" xfId="0" applyFont="1" applyFill="1" applyBorder="1" applyAlignment="1">
      <alignment horizontal="center" vertical="top" wrapText="1"/>
    </xf>
    <xf numFmtId="0" fontId="6" fillId="18" borderId="36" xfId="0" applyFont="1" applyFill="1" applyBorder="1" applyAlignment="1">
      <alignment horizontal="center" vertical="top" wrapText="1"/>
    </xf>
    <xf numFmtId="0" fontId="6" fillId="13" borderId="32" xfId="0" applyFont="1" applyFill="1" applyBorder="1" applyAlignment="1">
      <alignment horizontal="center" vertical="top" wrapText="1"/>
    </xf>
    <xf numFmtId="0" fontId="6" fillId="13" borderId="5" xfId="0" applyFont="1" applyFill="1" applyBorder="1" applyAlignment="1">
      <alignment horizontal="center" vertical="top" wrapText="1"/>
    </xf>
    <xf numFmtId="1" fontId="6" fillId="14" borderId="32" xfId="0" applyNumberFormat="1" applyFont="1" applyFill="1" applyBorder="1" applyAlignment="1">
      <alignment horizontal="center" vertical="top" wrapText="1"/>
    </xf>
    <xf numFmtId="1" fontId="6" fillId="14" borderId="5" xfId="0" applyNumberFormat="1" applyFont="1" applyFill="1" applyBorder="1" applyAlignment="1">
      <alignment horizontal="center" vertical="top" wrapText="1"/>
    </xf>
    <xf numFmtId="0" fontId="6" fillId="14" borderId="32" xfId="0" applyFont="1" applyFill="1" applyBorder="1" applyAlignment="1">
      <alignment horizontal="center" vertical="top" wrapText="1"/>
    </xf>
    <xf numFmtId="0" fontId="6" fillId="14" borderId="5" xfId="0" applyFont="1" applyFill="1" applyBorder="1" applyAlignment="1">
      <alignment horizontal="center" vertical="top" wrapText="1"/>
    </xf>
    <xf numFmtId="0" fontId="6" fillId="2" borderId="32" xfId="0" applyFont="1" applyFill="1" applyBorder="1" applyAlignment="1">
      <alignment horizontal="center" vertical="top" wrapText="1"/>
    </xf>
    <xf numFmtId="0" fontId="30" fillId="9" borderId="0" xfId="0" applyFont="1" applyFill="1"/>
    <xf numFmtId="14" fontId="0" fillId="0" borderId="17" xfId="0" applyNumberFormat="1" applyBorder="1"/>
    <xf numFmtId="0" fontId="0" fillId="0" borderId="17" xfId="0" applyBorder="1"/>
    <xf numFmtId="166" fontId="1" fillId="11" borderId="3" xfId="0" applyNumberFormat="1" applyFont="1" applyFill="1" applyBorder="1" applyAlignment="1">
      <alignment horizontal="center" wrapText="1"/>
    </xf>
    <xf numFmtId="166" fontId="1" fillId="11" borderId="8" xfId="0" applyNumberFormat="1" applyFont="1" applyFill="1" applyBorder="1" applyAlignment="1">
      <alignment horizontal="center" wrapText="1"/>
    </xf>
    <xf numFmtId="0" fontId="11" fillId="20" borderId="1" xfId="0" applyFont="1" applyFill="1" applyBorder="1" applyAlignment="1">
      <alignment horizontal="center" vertical="center" wrapText="1"/>
    </xf>
    <xf numFmtId="0" fontId="11" fillId="20" borderId="2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/>
    </xf>
    <xf numFmtId="14" fontId="0" fillId="0" borderId="17" xfId="0" applyNumberFormat="1" applyBorder="1" applyAlignment="1">
      <alignment horizontal="left"/>
    </xf>
    <xf numFmtId="0" fontId="6" fillId="0" borderId="0" xfId="0" applyFont="1" applyAlignment="1">
      <alignment vertical="center"/>
    </xf>
    <xf numFmtId="0" fontId="11" fillId="20" borderId="2" xfId="0" applyFont="1" applyFill="1" applyBorder="1" applyAlignment="1">
      <alignment horizontal="center"/>
    </xf>
    <xf numFmtId="0" fontId="11" fillId="20" borderId="2" xfId="0" applyFont="1" applyFill="1" applyBorder="1" applyAlignment="1" applyProtection="1">
      <alignment horizontal="center"/>
      <protection locked="0"/>
    </xf>
    <xf numFmtId="0" fontId="6" fillId="21" borderId="5" xfId="0" applyFont="1" applyFill="1" applyBorder="1" applyAlignment="1">
      <alignment horizontal="center" vertical="top" wrapText="1"/>
    </xf>
    <xf numFmtId="0" fontId="6" fillId="9" borderId="5" xfId="0" applyFont="1" applyFill="1" applyBorder="1" applyAlignment="1">
      <alignment horizontal="center" vertical="top" wrapText="1"/>
    </xf>
    <xf numFmtId="0" fontId="6" fillId="22" borderId="5" xfId="0" applyFont="1" applyFill="1" applyBorder="1" applyAlignment="1">
      <alignment horizontal="center" vertical="top" wrapText="1"/>
    </xf>
    <xf numFmtId="1" fontId="25" fillId="0" borderId="3" xfId="0" applyNumberFormat="1" applyFont="1" applyBorder="1" applyAlignment="1">
      <alignment horizontal="center" wrapText="1"/>
    </xf>
    <xf numFmtId="0" fontId="25" fillId="9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25" fillId="9" borderId="36" xfId="0" applyFont="1" applyFill="1" applyBorder="1" applyAlignment="1">
      <alignment horizontal="center" wrapText="1"/>
    </xf>
    <xf numFmtId="0" fontId="25" fillId="9" borderId="38" xfId="0" applyFont="1" applyFill="1" applyBorder="1" applyAlignment="1">
      <alignment horizontal="center" wrapText="1"/>
    </xf>
    <xf numFmtId="0" fontId="0" fillId="9" borderId="0" xfId="0" applyFill="1" applyAlignment="1">
      <alignment wrapText="1"/>
    </xf>
    <xf numFmtId="0" fontId="0" fillId="3" borderId="0" xfId="0" applyFill="1" applyAlignment="1">
      <alignment wrapText="1"/>
    </xf>
    <xf numFmtId="3" fontId="0" fillId="3" borderId="0" xfId="0" applyNumberFormat="1" applyFill="1" applyAlignment="1">
      <alignment horizontal="center" wrapText="1"/>
    </xf>
    <xf numFmtId="166" fontId="0" fillId="3" borderId="0" xfId="0" applyNumberFormat="1" applyFill="1" applyAlignment="1">
      <alignment horizontal="center" wrapText="1"/>
    </xf>
    <xf numFmtId="166" fontId="27" fillId="9" borderId="37" xfId="0" applyNumberFormat="1" applyFont="1" applyFill="1" applyBorder="1" applyAlignment="1">
      <alignment horizontal="center" wrapText="1"/>
    </xf>
    <xf numFmtId="166" fontId="27" fillId="9" borderId="3" xfId="0" applyNumberFormat="1" applyFont="1" applyFill="1" applyBorder="1" applyAlignment="1">
      <alignment horizontal="center" wrapText="1"/>
    </xf>
    <xf numFmtId="166" fontId="0" fillId="11" borderId="3" xfId="0" applyNumberFormat="1" applyFill="1" applyBorder="1" applyAlignment="1">
      <alignment horizontal="center" wrapText="1"/>
    </xf>
    <xf numFmtId="3" fontId="0" fillId="2" borderId="3" xfId="0" applyNumberForma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wrapText="1"/>
    </xf>
    <xf numFmtId="3" fontId="0" fillId="3" borderId="33" xfId="0" applyNumberFormat="1" applyFill="1" applyBorder="1" applyAlignment="1">
      <alignment horizontal="center" wrapText="1"/>
    </xf>
    <xf numFmtId="0" fontId="0" fillId="3" borderId="33" xfId="0" applyFill="1" applyBorder="1" applyAlignment="1">
      <alignment horizontal="center" wrapText="1"/>
    </xf>
    <xf numFmtId="0" fontId="25" fillId="0" borderId="12" xfId="0" applyFont="1" applyBorder="1" applyAlignment="1">
      <alignment horizontal="left" vertical="top" wrapText="1"/>
    </xf>
    <xf numFmtId="166" fontId="25" fillId="0" borderId="3" xfId="0" applyNumberFormat="1" applyFont="1" applyBorder="1" applyAlignment="1">
      <alignment horizontal="center" wrapText="1"/>
    </xf>
    <xf numFmtId="9" fontId="0" fillId="0" borderId="3" xfId="3" applyFont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3" fontId="0" fillId="0" borderId="36" xfId="0" applyNumberForma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66" fontId="0" fillId="12" borderId="3" xfId="0" applyNumberFormat="1" applyFill="1" applyBorder="1" applyAlignment="1">
      <alignment horizontal="center" vertical="center" wrapText="1"/>
    </xf>
    <xf numFmtId="166" fontId="0" fillId="12" borderId="8" xfId="0" applyNumberForma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" fontId="7" fillId="2" borderId="9" xfId="0" applyNumberFormat="1" applyFont="1" applyFill="1" applyBorder="1" applyAlignment="1" applyProtection="1">
      <alignment horizontal="center" vertical="center" wrapText="1"/>
      <protection hidden="1"/>
    </xf>
    <xf numFmtId="1" fontId="2" fillId="11" borderId="17" xfId="0" applyNumberFormat="1" applyFont="1" applyFill="1" applyBorder="1" applyAlignment="1">
      <alignment horizontal="center" vertical="center" wrapText="1"/>
    </xf>
    <xf numFmtId="1" fontId="2" fillId="11" borderId="18" xfId="0" applyNumberFormat="1" applyFont="1" applyFill="1" applyBorder="1" applyAlignment="1">
      <alignment horizontal="center" vertical="center" wrapText="1"/>
    </xf>
    <xf numFmtId="1" fontId="0" fillId="2" borderId="3" xfId="0" applyNumberFormat="1" applyFill="1" applyBorder="1" applyAlignment="1">
      <alignment horizontal="center" vertical="center" wrapText="1"/>
    </xf>
    <xf numFmtId="1" fontId="28" fillId="0" borderId="17" xfId="0" applyNumberFormat="1" applyFont="1" applyBorder="1" applyAlignment="1">
      <alignment horizontal="center" vertical="center" wrapText="1"/>
    </xf>
    <xf numFmtId="1" fontId="0" fillId="0" borderId="18" xfId="0" applyNumberFormat="1" applyBorder="1" applyAlignment="1">
      <alignment horizontal="center" vertical="center" wrapText="1"/>
    </xf>
    <xf numFmtId="1" fontId="28" fillId="11" borderId="17" xfId="0" applyNumberFormat="1" applyFont="1" applyFill="1" applyBorder="1" applyAlignment="1">
      <alignment horizontal="center" vertical="center" wrapText="1"/>
    </xf>
    <xf numFmtId="1" fontId="28" fillId="0" borderId="32" xfId="0" applyNumberFormat="1" applyFon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" fontId="28" fillId="0" borderId="3" xfId="0" applyNumberFormat="1" applyFont="1" applyBorder="1" applyAlignment="1">
      <alignment horizontal="center" vertical="center" wrapText="1"/>
    </xf>
    <xf numFmtId="1" fontId="7" fillId="2" borderId="3" xfId="0" applyNumberFormat="1" applyFont="1" applyFill="1" applyBorder="1" applyAlignment="1" applyProtection="1">
      <alignment horizontal="center" vertical="center" wrapText="1"/>
      <protection hidden="1"/>
    </xf>
    <xf numFmtId="1" fontId="0" fillId="2" borderId="18" xfId="0" applyNumberFormat="1" applyFill="1" applyBorder="1" applyAlignment="1">
      <alignment horizontal="center" vertical="center" wrapText="1"/>
    </xf>
    <xf numFmtId="1" fontId="2" fillId="2" borderId="18" xfId="0" applyNumberFormat="1" applyFont="1" applyFill="1" applyBorder="1" applyAlignment="1">
      <alignment horizontal="center" vertical="center" wrapText="1"/>
    </xf>
    <xf numFmtId="1" fontId="7" fillId="2" borderId="10" xfId="0" applyNumberFormat="1" applyFont="1" applyFill="1" applyBorder="1" applyAlignment="1" applyProtection="1">
      <alignment horizontal="center" vertical="center" wrapText="1"/>
      <protection hidden="1"/>
    </xf>
    <xf numFmtId="1" fontId="2" fillId="11" borderId="3" xfId="0" applyNumberFormat="1" applyFont="1" applyFill="1" applyBorder="1" applyAlignment="1">
      <alignment horizontal="center" vertical="center" wrapText="1"/>
    </xf>
    <xf numFmtId="1" fontId="28" fillId="11" borderId="3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hidden="1"/>
    </xf>
    <xf numFmtId="2" fontId="0" fillId="19" borderId="3" xfId="0" applyNumberFormat="1" applyFill="1" applyBorder="1" applyAlignment="1">
      <alignment horizontal="center" vertical="center" wrapText="1"/>
    </xf>
    <xf numFmtId="10" fontId="0" fillId="0" borderId="3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2" fontId="0" fillId="13" borderId="3" xfId="0" applyNumberFormat="1" applyFill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166" fontId="2" fillId="9" borderId="0" xfId="0" applyNumberFormat="1" applyFont="1" applyFill="1" applyAlignment="1">
      <alignment horizontal="center" vertical="center" wrapText="1"/>
    </xf>
    <xf numFmtId="1" fontId="0" fillId="11" borderId="3" xfId="0" applyNumberFormat="1" applyFill="1" applyBorder="1" applyAlignment="1">
      <alignment horizontal="center" vertical="center" wrapText="1"/>
    </xf>
    <xf numFmtId="1" fontId="0" fillId="11" borderId="33" xfId="0" applyNumberFormat="1" applyFill="1" applyBorder="1" applyAlignment="1">
      <alignment horizontal="center" vertical="center" wrapText="1"/>
    </xf>
    <xf numFmtId="164" fontId="0" fillId="0" borderId="3" xfId="3" applyNumberFormat="1" applyFont="1" applyBorder="1" applyAlignment="1">
      <alignment horizontal="center" vertical="center" wrapText="1"/>
    </xf>
    <xf numFmtId="1" fontId="7" fillId="0" borderId="9" xfId="0" applyNumberFormat="1" applyFont="1" applyBorder="1" applyAlignment="1" applyProtection="1">
      <alignment horizontal="center" vertical="center" wrapText="1"/>
      <protection hidden="1"/>
    </xf>
    <xf numFmtId="2" fontId="0" fillId="14" borderId="3" xfId="0" applyNumberForma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1" fontId="0" fillId="2" borderId="8" xfId="0" applyNumberFormat="1" applyFill="1" applyBorder="1" applyAlignment="1">
      <alignment horizontal="center" vertical="center" wrapText="1"/>
    </xf>
    <xf numFmtId="1" fontId="0" fillId="11" borderId="8" xfId="0" applyNumberFormat="1" applyFill="1" applyBorder="1" applyAlignment="1">
      <alignment horizontal="center" vertical="center" wrapText="1"/>
    </xf>
    <xf numFmtId="2" fontId="0" fillId="14" borderId="8" xfId="0" applyNumberFormat="1" applyFill="1" applyBorder="1" applyAlignment="1">
      <alignment horizontal="center" vertical="center" wrapText="1"/>
    </xf>
    <xf numFmtId="1" fontId="0" fillId="11" borderId="9" xfId="0" applyNumberForma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166" fontId="2" fillId="9" borderId="3" xfId="0" applyNumberFormat="1" applyFont="1" applyFill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 wrapText="1"/>
    </xf>
    <xf numFmtId="166" fontId="0" fillId="14" borderId="3" xfId="0" applyNumberForma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3" fontId="0" fillId="2" borderId="9" xfId="0" applyNumberForma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3" fontId="0" fillId="2" borderId="18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textRotation="90"/>
    </xf>
    <xf numFmtId="0" fontId="6" fillId="2" borderId="3" xfId="0" applyFont="1" applyFill="1" applyBorder="1" applyAlignment="1">
      <alignment textRotation="90"/>
    </xf>
    <xf numFmtId="0" fontId="0" fillId="0" borderId="3" xfId="0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3" xfId="0" applyFont="1" applyFill="1" applyBorder="1"/>
    <xf numFmtId="0" fontId="0" fillId="2" borderId="35" xfId="0" applyFill="1" applyBorder="1" applyAlignment="1">
      <alignment horizontal="left"/>
    </xf>
    <xf numFmtId="0" fontId="0" fillId="2" borderId="32" xfId="0" applyFill="1" applyBorder="1"/>
    <xf numFmtId="0" fontId="0" fillId="2" borderId="35" xfId="0" applyFill="1" applyBorder="1"/>
    <xf numFmtId="0" fontId="21" fillId="0" borderId="3" xfId="0" applyFont="1" applyBorder="1"/>
    <xf numFmtId="0" fontId="19" fillId="0" borderId="3" xfId="0" applyFont="1" applyBorder="1" applyAlignment="1">
      <alignment horizontal="left"/>
    </xf>
    <xf numFmtId="0" fontId="0" fillId="3" borderId="0" xfId="0" applyFill="1"/>
    <xf numFmtId="0" fontId="0" fillId="0" borderId="3" xfId="0" pivotButton="1" applyBorder="1"/>
    <xf numFmtId="0" fontId="6" fillId="2" borderId="3" xfId="0" applyFont="1" applyFill="1" applyBorder="1"/>
    <xf numFmtId="3" fontId="25" fillId="0" borderId="3" xfId="0" applyNumberFormat="1" applyFont="1" applyBorder="1" applyAlignment="1">
      <alignment horizontal="center" wrapText="1"/>
    </xf>
    <xf numFmtId="167" fontId="0" fillId="0" borderId="3" xfId="0" applyNumberFormat="1" applyBorder="1" applyAlignment="1">
      <alignment horizontal="center" wrapText="1"/>
    </xf>
    <xf numFmtId="9" fontId="25" fillId="0" borderId="3" xfId="1" applyFont="1" applyFill="1" applyBorder="1" applyAlignment="1">
      <alignment horizontal="center" wrapText="1"/>
    </xf>
    <xf numFmtId="0" fontId="7" fillId="0" borderId="25" xfId="0" applyFont="1" applyBorder="1" applyAlignment="1" applyProtection="1">
      <alignment horizontal="center" vertical="center" wrapText="1"/>
      <protection hidden="1"/>
    </xf>
    <xf numFmtId="0" fontId="7" fillId="0" borderId="26" xfId="0" applyFont="1" applyBorder="1" applyAlignment="1" applyProtection="1">
      <alignment horizontal="center" vertical="center" wrapText="1"/>
      <protection hidden="1"/>
    </xf>
    <xf numFmtId="1" fontId="7" fillId="0" borderId="8" xfId="0" applyNumberFormat="1" applyFont="1" applyBorder="1" applyAlignment="1" applyProtection="1">
      <alignment horizontal="center" vertical="center" wrapText="1"/>
      <protection hidden="1"/>
    </xf>
    <xf numFmtId="3" fontId="10" fillId="4" borderId="42" xfId="0" applyNumberFormat="1" applyFont="1" applyFill="1" applyBorder="1" applyAlignment="1">
      <alignment horizontal="center" vertical="center"/>
    </xf>
    <xf numFmtId="1" fontId="10" fillId="4" borderId="42" xfId="2" applyNumberFormat="1" applyFont="1" applyFill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left" vertical="center" wrapText="1"/>
    </xf>
    <xf numFmtId="9" fontId="10" fillId="5" borderId="28" xfId="1" applyFont="1" applyFill="1" applyBorder="1" applyAlignment="1">
      <alignment horizontal="center" vertical="center" wrapText="1"/>
    </xf>
    <xf numFmtId="0" fontId="10" fillId="0" borderId="8" xfId="0" applyFont="1" applyBorder="1" applyAlignment="1" applyProtection="1">
      <alignment horizontal="left" vertical="center" wrapText="1"/>
      <protection hidden="1"/>
    </xf>
    <xf numFmtId="3" fontId="7" fillId="0" borderId="8" xfId="0" applyNumberFormat="1" applyFont="1" applyBorder="1" applyAlignment="1" applyProtection="1">
      <alignment horizontal="center" vertical="center" wrapText="1"/>
      <protection hidden="1"/>
    </xf>
    <xf numFmtId="9" fontId="7" fillId="0" borderId="9" xfId="1" applyFont="1" applyFill="1" applyBorder="1" applyAlignment="1" applyProtection="1">
      <alignment horizontal="center" vertical="center" wrapText="1"/>
      <protection hidden="1"/>
    </xf>
    <xf numFmtId="1" fontId="10" fillId="6" borderId="29" xfId="2" applyNumberFormat="1" applyFont="1" applyFill="1" applyBorder="1" applyAlignment="1">
      <alignment horizontal="center"/>
    </xf>
    <xf numFmtId="9" fontId="10" fillId="6" borderId="29" xfId="1" applyFont="1" applyFill="1" applyBorder="1" applyAlignment="1">
      <alignment horizontal="center" vertical="center"/>
    </xf>
    <xf numFmtId="9" fontId="7" fillId="0" borderId="3" xfId="1" applyFont="1" applyFill="1" applyBorder="1" applyAlignment="1" applyProtection="1">
      <alignment horizontal="center" vertical="center" wrapText="1"/>
      <protection hidden="1"/>
    </xf>
    <xf numFmtId="3" fontId="1" fillId="0" borderId="8" xfId="0" applyNumberFormat="1" applyFont="1" applyBorder="1" applyAlignment="1" applyProtection="1">
      <alignment horizontal="center" vertical="center" wrapText="1"/>
      <protection hidden="1"/>
    </xf>
    <xf numFmtId="10" fontId="7" fillId="0" borderId="8" xfId="1" applyNumberFormat="1" applyFont="1" applyFill="1" applyBorder="1" applyAlignment="1" applyProtection="1">
      <alignment horizontal="center" vertical="center" wrapText="1"/>
      <protection hidden="1"/>
    </xf>
    <xf numFmtId="10" fontId="7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>
      <alignment horizontal="center" vertical="center" wrapText="1"/>
    </xf>
    <xf numFmtId="0" fontId="0" fillId="0" borderId="26" xfId="0" applyBorder="1" applyAlignment="1">
      <alignment textRotation="90"/>
    </xf>
    <xf numFmtId="0" fontId="0" fillId="0" borderId="8" xfId="0" applyBorder="1" applyAlignment="1">
      <alignment textRotation="90"/>
    </xf>
    <xf numFmtId="0" fontId="0" fillId="0" borderId="9" xfId="0" applyBorder="1" applyAlignment="1">
      <alignment textRotation="90"/>
    </xf>
    <xf numFmtId="3" fontId="1" fillId="0" borderId="3" xfId="0" applyNumberFormat="1" applyFont="1" applyBorder="1" applyAlignment="1" applyProtection="1">
      <alignment horizontal="center" vertical="center" wrapText="1"/>
      <protection hidden="1"/>
    </xf>
    <xf numFmtId="3" fontId="7" fillId="0" borderId="9" xfId="0" applyNumberFormat="1" applyFont="1" applyBorder="1" applyAlignment="1" applyProtection="1">
      <alignment horizontal="center" vertical="center" wrapText="1"/>
      <protection hidden="1"/>
    </xf>
    <xf numFmtId="0" fontId="7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1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14" fontId="9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 applyAlignment="1">
      <alignment horizontal="center" vertical="center"/>
    </xf>
    <xf numFmtId="165" fontId="12" fillId="0" borderId="17" xfId="0" applyNumberFormat="1" applyFont="1" applyFill="1" applyBorder="1" applyAlignment="1">
      <alignment horizontal="center"/>
    </xf>
    <xf numFmtId="165" fontId="9" fillId="0" borderId="17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/>
    </xf>
    <xf numFmtId="1" fontId="9" fillId="0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Alignment="1">
      <alignment horizontal="center"/>
    </xf>
    <xf numFmtId="0" fontId="0" fillId="0" borderId="0" xfId="0" applyFill="1"/>
    <xf numFmtId="165" fontId="12" fillId="0" borderId="0" xfId="0" applyNumberFormat="1" applyFont="1" applyFill="1" applyAlignment="1">
      <alignment horizontal="center"/>
    </xf>
    <xf numFmtId="14" fontId="9" fillId="0" borderId="17" xfId="0" applyNumberFormat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17" xfId="0" applyFont="1" applyFill="1" applyBorder="1"/>
    <xf numFmtId="0" fontId="12" fillId="0" borderId="0" xfId="0" applyFont="1" applyFill="1"/>
    <xf numFmtId="14" fontId="12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1" fontId="12" fillId="0" borderId="0" xfId="0" applyNumberFormat="1" applyFont="1" applyFill="1" applyAlignment="1">
      <alignment horizontal="center"/>
    </xf>
    <xf numFmtId="0" fontId="12" fillId="0" borderId="17" xfId="0" applyFont="1" applyFill="1" applyBorder="1" applyAlignment="1">
      <alignment horizontal="left"/>
    </xf>
    <xf numFmtId="14" fontId="31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14" fontId="9" fillId="0" borderId="41" xfId="0" applyNumberFormat="1" applyFont="1" applyFill="1" applyBorder="1" applyAlignment="1">
      <alignment horizontal="center" vertical="center"/>
    </xf>
    <xf numFmtId="165" fontId="12" fillId="0" borderId="41" xfId="0" applyNumberFormat="1" applyFont="1" applyFill="1" applyBorder="1" applyAlignment="1">
      <alignment horizontal="center"/>
    </xf>
    <xf numFmtId="14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/>
    </xf>
    <xf numFmtId="165" fontId="9" fillId="0" borderId="41" xfId="0" applyNumberFormat="1" applyFont="1" applyFill="1" applyBorder="1" applyAlignment="1">
      <alignment horizontal="center" vertical="center"/>
    </xf>
    <xf numFmtId="0" fontId="29" fillId="0" borderId="0" xfId="0" applyFont="1" applyFill="1"/>
    <xf numFmtId="165" fontId="0" fillId="0" borderId="0" xfId="0" applyNumberFormat="1" applyFill="1" applyAlignment="1">
      <alignment horizontal="center" vertical="center"/>
    </xf>
    <xf numFmtId="0" fontId="9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quotePrefix="1" applyFill="1" applyAlignment="1">
      <alignment horizontal="center" vertical="center"/>
    </xf>
    <xf numFmtId="0" fontId="2" fillId="0" borderId="19" xfId="0" applyFont="1" applyFill="1" applyBorder="1" applyAlignment="1">
      <alignment horizontal="left"/>
    </xf>
    <xf numFmtId="0" fontId="0" fillId="11" borderId="12" xfId="0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wrapText="1"/>
    </xf>
    <xf numFmtId="0" fontId="10" fillId="5" borderId="15" xfId="0" applyFont="1" applyFill="1" applyBorder="1" applyAlignment="1">
      <alignment horizontal="left" vertical="center" wrapText="1"/>
    </xf>
    <xf numFmtId="0" fontId="10" fillId="6" borderId="5" xfId="0" applyFont="1" applyFill="1" applyBorder="1" applyAlignment="1">
      <alignment horizontal="left" vertical="center"/>
    </xf>
    <xf numFmtId="0" fontId="32" fillId="0" borderId="0" xfId="0" applyFont="1" applyFill="1" applyAlignment="1">
      <alignment horizontal="left" vertical="center"/>
    </xf>
    <xf numFmtId="0" fontId="32" fillId="0" borderId="0" xfId="0" applyFont="1" applyFill="1" applyAlignment="1">
      <alignment horizontal="left"/>
    </xf>
    <xf numFmtId="0" fontId="32" fillId="0" borderId="0" xfId="0" applyNumberFormat="1" applyFont="1" applyFill="1" applyAlignment="1">
      <alignment horizontal="center" vertical="center"/>
    </xf>
    <xf numFmtId="14" fontId="32" fillId="0" borderId="0" xfId="0" applyNumberFormat="1" applyFont="1" applyFill="1" applyAlignment="1">
      <alignment horizontal="center" vertical="center"/>
    </xf>
    <xf numFmtId="165" fontId="32" fillId="0" borderId="0" xfId="0" applyNumberFormat="1" applyFont="1" applyFill="1" applyAlignment="1">
      <alignment horizontal="center" vertical="center"/>
    </xf>
    <xf numFmtId="0" fontId="32" fillId="0" borderId="0" xfId="0" applyFont="1" applyFill="1" applyAlignment="1"/>
    <xf numFmtId="0" fontId="32" fillId="0" borderId="0" xfId="0" applyNumberFormat="1" applyFont="1" applyFill="1" applyAlignment="1">
      <alignment horizontal="center"/>
    </xf>
    <xf numFmtId="1" fontId="32" fillId="0" borderId="0" xfId="0" applyNumberFormat="1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1" fontId="32" fillId="0" borderId="0" xfId="0" applyNumberFormat="1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0" fontId="32" fillId="0" borderId="0" xfId="0" applyFont="1" applyFill="1" applyBorder="1" applyAlignment="1">
      <alignment horizontal="left" vertical="center"/>
    </xf>
    <xf numFmtId="0" fontId="2" fillId="0" borderId="0" xfId="0" applyFont="1" applyFill="1"/>
    <xf numFmtId="14" fontId="2" fillId="0" borderId="0" xfId="0" applyNumberFormat="1" applyFont="1" applyFill="1" applyAlignment="1">
      <alignment horizontal="center" vertical="center"/>
    </xf>
    <xf numFmtId="0" fontId="33" fillId="0" borderId="0" xfId="0" applyFont="1" applyFill="1"/>
    <xf numFmtId="165" fontId="34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2" fillId="0" borderId="32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21" xfId="0" applyFont="1" applyFill="1" applyBorder="1" applyAlignment="1">
      <alignment horizontal="left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  <xf numFmtId="14" fontId="9" fillId="0" borderId="0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14" fontId="11" fillId="0" borderId="43" xfId="0" applyNumberFormat="1" applyFont="1" applyBorder="1" applyAlignment="1">
      <alignment horizontal="center" vertical="center" wrapText="1"/>
    </xf>
    <xf numFmtId="0" fontId="10" fillId="8" borderId="3" xfId="0" applyFont="1" applyFill="1" applyBorder="1" applyAlignment="1" applyProtection="1">
      <alignment horizontal="left" vertical="center" wrapText="1"/>
      <protection hidden="1"/>
    </xf>
    <xf numFmtId="0" fontId="7" fillId="11" borderId="9" xfId="0" applyFont="1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wrapText="1"/>
    </xf>
    <xf numFmtId="166" fontId="35" fillId="9" borderId="37" xfId="0" applyNumberFormat="1" applyFont="1" applyFill="1" applyBorder="1" applyAlignment="1">
      <alignment horizontal="center" wrapText="1"/>
    </xf>
    <xf numFmtId="0" fontId="0" fillId="0" borderId="13" xfId="0" applyBorder="1" applyAlignment="1">
      <alignment textRotation="90"/>
    </xf>
    <xf numFmtId="0" fontId="0" fillId="2" borderId="26" xfId="0" applyFill="1" applyBorder="1"/>
    <xf numFmtId="0" fontId="0" fillId="2" borderId="18" xfId="0" applyFill="1" applyBorder="1"/>
    <xf numFmtId="0" fontId="36" fillId="0" borderId="3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left"/>
    </xf>
    <xf numFmtId="0" fontId="0" fillId="0" borderId="3" xfId="0" applyFill="1" applyBorder="1"/>
    <xf numFmtId="0" fontId="2" fillId="0" borderId="3" xfId="0" applyFont="1" applyFill="1" applyBorder="1" applyAlignment="1">
      <alignment horizontal="left"/>
    </xf>
    <xf numFmtId="166" fontId="2" fillId="9" borderId="3" xfId="0" applyNumberFormat="1" applyFont="1" applyFill="1" applyBorder="1" applyAlignment="1">
      <alignment horizontal="center" wrapText="1"/>
    </xf>
    <xf numFmtId="1" fontId="2" fillId="23" borderId="18" xfId="0" applyNumberFormat="1" applyFont="1" applyFill="1" applyBorder="1" applyAlignment="1">
      <alignment horizontal="center" vertical="center" wrapText="1"/>
    </xf>
    <xf numFmtId="1" fontId="7" fillId="23" borderId="9" xfId="0" applyNumberFormat="1" applyFont="1" applyFill="1" applyBorder="1" applyAlignment="1" applyProtection="1">
      <alignment horizontal="center" vertical="center" wrapText="1"/>
      <protection hidden="1"/>
    </xf>
    <xf numFmtId="1" fontId="28" fillId="23" borderId="3" xfId="0" applyNumberFormat="1" applyFont="1" applyFill="1" applyBorder="1" applyAlignment="1">
      <alignment horizontal="center" vertical="center" wrapText="1"/>
    </xf>
    <xf numFmtId="1" fontId="2" fillId="23" borderId="3" xfId="0" applyNumberFormat="1" applyFont="1" applyFill="1" applyBorder="1" applyAlignment="1">
      <alignment horizontal="center" vertical="center" wrapText="1"/>
    </xf>
    <xf numFmtId="2" fontId="2" fillId="23" borderId="3" xfId="0" applyNumberFormat="1" applyFont="1" applyFill="1" applyBorder="1" applyAlignment="1">
      <alignment horizontal="center" vertical="center" wrapText="1"/>
    </xf>
    <xf numFmtId="166" fontId="7" fillId="23" borderId="3" xfId="0" applyNumberFormat="1" applyFont="1" applyFill="1" applyBorder="1" applyAlignment="1" applyProtection="1">
      <alignment horizontal="center" vertical="center" wrapText="1"/>
      <protection hidden="1"/>
    </xf>
    <xf numFmtId="10" fontId="2" fillId="23" borderId="3" xfId="0" applyNumberFormat="1" applyFont="1" applyFill="1" applyBorder="1" applyAlignment="1">
      <alignment horizontal="center" vertical="center" wrapText="1"/>
    </xf>
    <xf numFmtId="0" fontId="2" fillId="23" borderId="18" xfId="0" applyFont="1" applyFill="1" applyBorder="1" applyAlignment="1">
      <alignment horizontal="center" vertical="center" wrapText="1"/>
    </xf>
    <xf numFmtId="0" fontId="7" fillId="23" borderId="3" xfId="0" applyFont="1" applyFill="1" applyBorder="1" applyAlignment="1" applyProtection="1">
      <alignment horizontal="center" vertical="center" wrapText="1"/>
      <protection hidden="1"/>
    </xf>
    <xf numFmtId="0" fontId="2" fillId="23" borderId="3" xfId="0" applyFont="1" applyFill="1" applyBorder="1" applyAlignment="1">
      <alignment horizontal="center" vertical="center" wrapText="1"/>
    </xf>
    <xf numFmtId="1" fontId="7" fillId="23" borderId="3" xfId="0" applyNumberFormat="1" applyFont="1" applyFill="1" applyBorder="1" applyAlignment="1" applyProtection="1">
      <alignment horizontal="center" vertical="center" wrapText="1"/>
      <protection hidden="1"/>
    </xf>
    <xf numFmtId="166" fontId="2" fillId="23" borderId="3" xfId="0" applyNumberFormat="1" applyFont="1" applyFill="1" applyBorder="1" applyAlignment="1">
      <alignment horizontal="center" vertical="center" wrapText="1"/>
    </xf>
    <xf numFmtId="1" fontId="2" fillId="23" borderId="33" xfId="0" applyNumberFormat="1" applyFont="1" applyFill="1" applyBorder="1" applyAlignment="1">
      <alignment horizontal="center" vertical="center" wrapText="1"/>
    </xf>
    <xf numFmtId="3" fontId="0" fillId="4" borderId="3" xfId="0" applyNumberForma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6" fontId="0" fillId="4" borderId="3" xfId="0" applyNumberFormat="1" applyFill="1" applyBorder="1" applyAlignment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  <protection hidden="1"/>
    </xf>
    <xf numFmtId="0" fontId="7" fillId="8" borderId="3" xfId="0" applyFont="1" applyFill="1" applyBorder="1" applyAlignment="1" applyProtection="1">
      <alignment horizontal="left" vertical="center" wrapText="1"/>
      <protection hidden="1"/>
    </xf>
    <xf numFmtId="0" fontId="25" fillId="2" borderId="44" xfId="0" applyFont="1" applyFill="1" applyBorder="1" applyAlignment="1">
      <alignment horizontal="center" wrapText="1"/>
    </xf>
    <xf numFmtId="0" fontId="25" fillId="2" borderId="45" xfId="0" applyFont="1" applyFill="1" applyBorder="1" applyAlignment="1">
      <alignment horizontal="center" wrapText="1"/>
    </xf>
    <xf numFmtId="0" fontId="25" fillId="0" borderId="3" xfId="0" applyFont="1" applyBorder="1" applyAlignment="1">
      <alignment horizontal="left" vertical="top" wrapText="1"/>
    </xf>
    <xf numFmtId="0" fontId="12" fillId="0" borderId="3" xfId="0" applyFont="1" applyFill="1" applyBorder="1"/>
    <xf numFmtId="0" fontId="25" fillId="13" borderId="3" xfId="0" applyFont="1" applyFill="1" applyBorder="1" applyAlignment="1">
      <alignment horizontal="center" wrapText="1"/>
    </xf>
    <xf numFmtId="0" fontId="7" fillId="0" borderId="3" xfId="0" applyFont="1" applyBorder="1" applyAlignment="1" applyProtection="1">
      <alignment horizontal="left" vertical="center" wrapText="1"/>
      <protection hidden="1"/>
    </xf>
    <xf numFmtId="3" fontId="0" fillId="0" borderId="3" xfId="0" applyNumberFormat="1" applyFill="1" applyBorder="1" applyAlignment="1">
      <alignment horizontal="center" wrapText="1"/>
    </xf>
    <xf numFmtId="0" fontId="32" fillId="0" borderId="21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14" fontId="12" fillId="0" borderId="0" xfId="0" applyNumberFormat="1" applyFont="1" applyFill="1" applyBorder="1" applyAlignment="1">
      <alignment horizontal="center"/>
    </xf>
    <xf numFmtId="14" fontId="31" fillId="0" borderId="3" xfId="0" applyNumberFormat="1" applyFont="1" applyFill="1" applyBorder="1" applyAlignment="1">
      <alignment horizontal="center" vertical="center"/>
    </xf>
    <xf numFmtId="165" fontId="32" fillId="0" borderId="17" xfId="0" applyNumberFormat="1" applyFont="1" applyFill="1" applyBorder="1" applyAlignment="1">
      <alignment horizontal="center" vertical="center"/>
    </xf>
    <xf numFmtId="14" fontId="32" fillId="0" borderId="17" xfId="0" applyNumberFormat="1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left" vertical="center" wrapText="1"/>
    </xf>
    <xf numFmtId="0" fontId="10" fillId="5" borderId="15" xfId="0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vertical="center"/>
    </xf>
    <xf numFmtId="0" fontId="10" fillId="6" borderId="27" xfId="0" applyFont="1" applyFill="1" applyBorder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0" fontId="10" fillId="4" borderId="15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/>
    </xf>
  </cellXfs>
  <cellStyles count="4">
    <cellStyle name="Comma" xfId="2" builtinId="3"/>
    <cellStyle name="Normal" xfId="0" builtinId="0"/>
    <cellStyle name="Percent" xfId="1" builtinId="5"/>
    <cellStyle name="Percent 2" xfId="3" xr:uid="{BA84609B-28F4-44BD-BE70-5E17A3BB06D9}"/>
  </cellStyles>
  <dxfs count="2270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0"/>
        </patternFill>
      </fill>
    </dxf>
    <dxf>
      <fill>
        <patternFill patternType="solid">
          <bgColor rgb="FFFF0000"/>
        </patternFill>
      </fill>
    </dxf>
    <dxf>
      <font>
        <color auto="1"/>
      </font>
    </dxf>
    <dxf>
      <font>
        <color theme="0" tint="-0.14999847407452621"/>
      </font>
    </dxf>
    <dxf>
      <fill>
        <patternFill patternType="solid">
          <bgColor theme="7" tint="0.399975585192419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>
          <bgColor theme="8" tint="-0.249977111117893"/>
        </patternFill>
      </fill>
    </dxf>
    <dxf>
      <fill>
        <patternFill>
          <bgColor theme="0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>
          <bgColor theme="0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>
          <bgColor theme="7" tint="0.39997558519241921"/>
        </patternFill>
      </fill>
    </dxf>
    <dxf>
      <fill>
        <patternFill>
          <bgColor theme="8" tint="-0.249977111117893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top style="thin">
          <color indexed="64"/>
        </top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alignment textRotation="9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/>
    </dxf>
    <dxf>
      <alignment textRotation="9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color auto="1"/>
      </font>
    </dxf>
    <dxf>
      <font>
        <color auto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</font>
    </dxf>
    <dxf>
      <fill>
        <patternFill patternType="solid">
          <bgColor rgb="FFFFFF00"/>
        </patternFill>
      </fill>
    </dxf>
    <dxf>
      <alignment textRotation="9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0"/>
    </dxf>
    <dxf>
      <alignment wrapText="0"/>
    </dxf>
    <dxf>
      <alignment wrapText="0"/>
    </dxf>
    <dxf>
      <alignment textRotation="90"/>
    </dxf>
    <dxf>
      <alignment textRotation="90"/>
    </dxf>
    <dxf>
      <alignment textRotation="90"/>
    </dxf>
    <dxf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0.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/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0.0"/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/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6" formatCode="0.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4" formatCode="0.0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66" formatCode="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2" formatCode="0.00"/>
      <fill>
        <patternFill patternType="solid">
          <fgColor indexed="64"/>
          <bgColor theme="5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2"/>
        <color auto="1"/>
      </font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1"/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/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166" formatCode="0.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outline="0">
        <right style="thin">
          <color indexed="64"/>
        </right>
      </border>
    </dxf>
    <dxf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>
          <fgColor indexed="64"/>
          <bgColor rgb="FFFF0000"/>
        </patternFill>
      </fill>
      <alignment horizontal="center" vertical="bottom" textRotation="0" wrapText="1" indent="0" justifyLastLine="0" shrinkToFit="0" readingOrder="0"/>
    </dxf>
    <dxf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>
          <fgColor indexed="64"/>
          <bgColor rgb="FFFF0000"/>
        </patternFill>
      </fill>
      <alignment horizontal="center" vertical="bottom" textRotation="0" wrapText="1" indent="0" justifyLastLine="0" shrinkToFit="0" readingOrder="0"/>
      <border outline="0">
        <left style="thin">
          <color indexed="64"/>
        </left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166" formatCode="0.0"/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none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3" formatCode="#,##0"/>
      <fill>
        <patternFill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0.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rgb="FF000000"/>
        </left>
        <right style="thin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rgb="FF000000"/>
        </top>
      </border>
    </dxf>
    <dxf>
      <alignment horizontal="center" vertical="bottom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border outline="0">
        <left style="thin">
          <color indexed="64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13" formatCode="0%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outline="0">
        <left style="thin">
          <color indexed="64"/>
        </left>
        <right style="thin">
          <color indexed="64"/>
        </right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rgb="FF4472C4"/>
        </patternFill>
      </fill>
      <border outline="0">
        <right style="thin">
          <color indexed="64"/>
        </righ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rgb="FFFFFF00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rgb="FFFFFF00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protection locked="1" hidden="1"/>
    </dxf>
    <dxf>
      <border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ill>
        <patternFill patternType="solid">
          <bgColor rgb="FFFF0000"/>
        </patternFill>
      </fill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solid">
          <fgColor indexed="64"/>
          <bgColor rgb="FF4472C4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alignment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border>
        <top style="medium">
          <color rgb="FF000000"/>
        </top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</dxfs>
  <tableStyles count="0" defaultTableStyle="TableStyleMedium2" defaultPivotStyle="PivotStyleLight16"/>
  <colors>
    <mruColors>
      <color rgb="FFCD96D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pivotCacheDefinition" Target="pivotCache/pivotCacheDefinition5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1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pivotCacheDefinition" Target="pivotCache/pivotCacheDefinition3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981075</xdr:colOff>
      <xdr:row>0</xdr:row>
      <xdr:rowOff>142875</xdr:rowOff>
    </xdr:from>
    <xdr:to>
      <xdr:col>9</xdr:col>
      <xdr:colOff>581025</xdr:colOff>
      <xdr:row>10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397857F-B1E7-2662-4204-E4E5FD37DBE5}"/>
            </a:ext>
          </a:extLst>
        </xdr:cNvPr>
        <xdr:cNvSpPr txBox="1"/>
      </xdr:nvSpPr>
      <xdr:spPr>
        <a:xfrm>
          <a:off x="6543675" y="142875"/>
          <a:ext cx="5915025" cy="19240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Notes: </a:t>
          </a:r>
        </a:p>
        <a:p>
          <a:r>
            <a:rPr lang="en-US" sz="1100"/>
            <a:t>Resident</a:t>
          </a:r>
          <a:r>
            <a:rPr lang="en-US" sz="1100" baseline="0"/>
            <a:t> courses only</a:t>
          </a:r>
        </a:p>
        <a:p>
          <a:endParaRPr lang="en-US" sz="1100" baseline="0"/>
        </a:p>
        <a:p>
          <a:r>
            <a:rPr lang="en-US" sz="1100" baseline="0"/>
            <a:t>1. Sort: Select Course</a:t>
          </a:r>
        </a:p>
        <a:p>
          <a:r>
            <a:rPr lang="en-US" sz="1100" baseline="0"/>
            <a:t>2. B: Total quotas planned in FY26 in that location</a:t>
          </a:r>
        </a:p>
        <a:p>
          <a:r>
            <a:rPr lang="en-US" sz="1100" baseline="0"/>
            <a:t>3. C: Quotas need for that course in that location</a:t>
          </a:r>
          <a:endParaRPr 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lankspeed.sharepoint-mil.us/sites/TrainingSptDept/Shared%20Documents/General/N7%20TSD%20Share%20Drive/TSD%20Needs%20Assessment/FY26/FY26_SAF%20Needs%20Assessment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lankspeed.sharepoint-mil.us/sites/TrainingSptDept/Shared%20Documents/General/N7%20TSD%20Share%20Drive/TSD%20Needs%20Assessment/FY26/FY26_SAF%20Needs%20Assessment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lankspeed.sharepoint-mil.us/Users/amanda.carter/AppData/Local/Microsoft/Windows/INetCache/Content.Outlook/4EV23E55/FY26%20EEM_%20ECH%20II%20CRM%20v01%20Input.xlsx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lankspeed.sharepoint-mil.us/Users/amanda.carter/AppData/Local/Microsoft/Windows/INetCache/Content.Outlook/4EV23E55/FY26%20EEM_%20ECH%20II%20CRM%20v01%20Input.xlsx" TargetMode="External"/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ter, Amanda R CIV USN NAVSAFENVTRACEN NOR (USA)" refreshedDate="45726.448082407405" createdVersion="8" refreshedVersion="8" minRefreshableVersion="3" recordCount="2855" xr:uid="{90E6234A-8D51-49E3-BB77-8231F634D99C}">
  <cacheSource type="worksheet">
    <worksheetSource name="Table4" r:id="rId2"/>
  </cacheSource>
  <cacheFields count="19">
    <cacheField name="Command" numFmtId="0">
      <sharedItems count="56">
        <s v="BUMED"/>
        <s v="U.S. SEVENTH Fleet"/>
        <s v="Commander Fleet Readiness Centers"/>
        <s v="USNMRTC GUANTANAMO BAY"/>
        <s v="NMRTC Beaufort, Beaufort SC"/>
        <s v="U.S. Fleet Cyber Command (N00055)"/>
        <s v="NAVFAC MIDLANT "/>
        <s v="NAVMEDFORLANT"/>
        <s v="Naval Education and Training Command (NETC)"/>
        <s v="NIWC LANT"/>
        <s v="NMFP"/>
        <s v="Naval Medical Readiness Logistics Command"/>
        <s v="NMRTC Corpus Christi"/>
        <s v="NMRTC Patuxent River"/>
        <s v="NMRTC Portsmouth"/>
        <s v="NAVMEDREADTRNCMD NEW ENGLAND NEWPORT RI"/>
        <s v="Southeast"/>
        <s v="Navy Medicine Readiness and Training Command Charleston"/>
        <s v="Marine Corps"/>
        <s v="Naval Air Systems Command"/>
        <s v="NAVFAC PWD CLDJ"/>
        <s v="NAVFAC HI"/>
        <s v="NAVFAC Washington"/>
        <s v="NAVFAC Marianas"/>
        <s v="Naval Facilities Engineering Systems Command"/>
        <s v="Naval Sea Systems Command"/>
        <s v="Naval Information Warfare Systems (NAVWAR)"/>
        <s v="NAVFAC FE"/>
        <s v="Naval Hospital Rota, Spain"/>
        <s v="Naval Information Warfare Center (NIWC) Pacific"/>
        <s v="NAVY MEDICINE OPERATIONAL TRAINING COMMAND"/>
        <s v="NMRTC CL/NMC Camp Lejeune"/>
        <s v="NAWCAD "/>
        <s v="NMRTC Jacksonville (including NMRTU Kings Bay, Mayport and Albany)"/>
        <s v="MNRTC QUANTCO"/>
        <s v="NMRTC Naples"/>
        <s v="Officer In Charge of Construction, PNSY"/>
        <s v="OPTEVFOR "/>
        <s v="PACFLT"/>
        <s v="SSP"/>
        <s v="US Fleet Forces"/>
        <s v="USNMRTC Sigonella, Italy"/>
        <s v="Navy Munitions Command Pacific CONUS West Division"/>
        <s v="Navy Crane Center"/>
        <s v="Navy and Marine Corps Force Health Protection Command"/>
        <s v="Commander, Naval District Washington"/>
        <s v="COMSUBPAC"/>
        <s v="COMNAVSURFPAC"/>
        <s v="COMNAVSURFPAC N05"/>
        <s v="Commander, Navy Reserve Command"/>
        <s v="Commander, Naval Legal Service Command"/>
        <s v="CNIC"/>
        <s v="CNAP"/>
        <s v="C3F"/>
        <s v="Naval Supply Systems Command"/>
        <s v="NAWCWD"/>
      </sharedItems>
    </cacheField>
    <cacheField name="Location/Course Title" numFmtId="0">
      <sharedItems count="86">
        <s v="Annapolis, MD"/>
        <s v="Atsugi, Japan"/>
        <s v="Bahrain "/>
        <s v="Bangor, WA"/>
        <s v="Bremerton, WA"/>
        <s v="Camp Lejeune, NC"/>
        <s v="Chinhae, Korea"/>
        <s v="Colts Neck, NJ"/>
        <s v="Coronado, CA"/>
        <s v="Corpus Christi, TX"/>
        <s v="Crane, IN"/>
        <s v="Diego Garcia"/>
        <s v="Everett, WA"/>
        <s v="Fallon, NV "/>
        <s v="Great Lakes, IL"/>
        <s v="Guam"/>
        <s v="Guantanamo Bay, Cuba"/>
        <s v="Gulfport, MS"/>
        <s v="Indian Head, MD"/>
        <s v="Indian Island, WA"/>
        <s v="Jacksonville, FL"/>
        <s v="Kekaha, HI"/>
        <s v="Keyport, WA "/>
        <s v="Kingsbay, GA"/>
        <s v="Kingsville, TX"/>
        <s v="Lemoore, CA"/>
        <s v="Mayport, FL"/>
        <s v="Mid South, TN"/>
        <s v="Naples, Italy"/>
        <s v="New London, CT/Groton"/>
        <s v="Newport, RI"/>
        <s v="Norfolk, VA"/>
        <s v="Okinawa, Japan"/>
        <s v="Panama City, FL"/>
        <s v="Patuxent River, MD"/>
        <s v="Pearl Harbor, HI"/>
        <s v="Pensacola, FL"/>
        <s v="Point Loma, CA"/>
        <s v="Port Hueneme, CA"/>
        <s v="Portsmouth, NH"/>
        <s v="Rota, Spain"/>
        <s v="San Clemente Island, CA"/>
        <s v="San Diego, CA"/>
        <s v="Sasebo, Japan"/>
        <s v="Seal Beach, CA"/>
        <s v="Sigonella, Italy"/>
        <s v="Souda Bay, Greece"/>
        <s v="Ventura County, CA"/>
        <s v="Virginia Beach, VA "/>
        <s v="Washington, DC"/>
        <s v="Whidbey Island, WA"/>
        <s v="Yokosuka, Japan"/>
        <s v="Mechanicburg, PA"/>
        <s v="Philadelphia, PA"/>
        <s v="Quantico"/>
        <s v="Cherry Point, NC"/>
        <s v="Ft. Worth, TX"/>
        <s v="Key West, FL"/>
        <s v="Meridian, MS"/>
        <s v="New Orleans, LA"/>
        <s v="Whiting Field, FL"/>
        <s v="ROICC Sally, Pensacola, FL"/>
        <s v="Albany, GA"/>
        <s v="Camp Pendleton, CA"/>
        <s v="Quantico, VA"/>
        <s v="MCAS Miramar"/>
        <s v="MCB Hawaii"/>
        <s v="MCAS Iwakuni"/>
        <s v="MCAS Yuma"/>
        <s v="MCAS Cherry Point"/>
        <s v="MCAS New River"/>
        <s v="MCSF Blount Island"/>
        <s v="Camp Mujuk"/>
        <s v="Camp Lemonnier, Dijbouti"/>
        <s v="Singapore, SG"/>
        <s v="WNY0 Chlinic-Washington, DC"/>
        <s v="Groton, CT"/>
        <s v="Kingsvile, TX"/>
        <s v="New London, CT"/>
        <s v="Pax River, MD"/>
        <s v="Support Facility Diego Garcia"/>
        <s v="Mechanicsburg, PA"/>
        <s v="Dalhgren, VA"/>
        <s v="China Lake, CA"/>
        <s v="Monterey, CA"/>
        <s v="El Centro, CA"/>
      </sharedItems>
    </cacheField>
    <cacheField name="Asbestos Inspector" numFmtId="0">
      <sharedItems containsString="0" containsBlank="1" containsNumber="1" containsInteger="1" minValue="0" maxValue="44"/>
    </cacheField>
    <cacheField name="Asbestos Inspector Refresher" numFmtId="0">
      <sharedItems containsString="0" containsBlank="1" containsNumber="1" containsInteger="1" minValue="0" maxValue="30"/>
    </cacheField>
    <cacheField name="Asbestos Management Planner" numFmtId="0">
      <sharedItems containsString="0" containsBlank="1" containsNumber="1" containsInteger="1" minValue="0" maxValue="15"/>
    </cacheField>
    <cacheField name="Asbestos Management Planner Refresher" numFmtId="0">
      <sharedItems containsString="0" containsBlank="1" containsNumber="1" containsInteger="1" minValue="0" maxValue="15"/>
    </cacheField>
    <cacheField name="Asbestos Supervisor Initial" numFmtId="0">
      <sharedItems containsString="0" containsBlank="1" containsNumber="1" containsInteger="1" minValue="0" maxValue="30"/>
    </cacheField>
    <cacheField name="Asbestos Supervisor Refresher" numFmtId="0">
      <sharedItems containsString="0" containsBlank="1" containsNumber="1" containsInteger="1" minValue="0" maxValue="15"/>
    </cacheField>
    <cacheField name="Competent Person for Fall Protection Course" numFmtId="0">
      <sharedItems containsString="0" containsBlank="1" containsNumber="1" containsInteger="1" minValue="0" maxValue="220"/>
    </cacheField>
    <cacheField name="Confined Space Safety " numFmtId="0">
      <sharedItems containsString="0" containsBlank="1" containsNumber="1" containsInteger="1" minValue="0" maxValue="44"/>
    </cacheField>
    <cacheField name="Construction Safety Standards" numFmtId="0">
      <sharedItems containsString="0" containsBlank="1" containsNumber="1" containsInteger="1" minValue="0" maxValue="42"/>
    </cacheField>
    <cacheField name="Emergency Asbestos Response Team" numFmtId="0">
      <sharedItems containsString="0" containsBlank="1" containsNumber="1" containsInteger="1" minValue="0" maxValue="30"/>
    </cacheField>
    <cacheField name="Fire Protection &amp; Life Safety" numFmtId="0">
      <sharedItems containsString="0" containsBlank="1" containsNumber="1" containsInteger="1" minValue="0" maxValue="31"/>
    </cacheField>
    <cacheField name="Industrial Noise and Hearing Conservation Program" numFmtId="0">
      <sharedItems containsString="0" containsBlank="1" containsNumber="1" containsInteger="1" minValue="0" maxValue="39"/>
    </cacheField>
    <cacheField name="Occupational Health Program Manager (In development)" numFmtId="0">
      <sharedItems containsString="0" containsBlank="1" containsNumber="1" containsInteger="1" minValue="0" maxValue="31"/>
    </cacheField>
    <cacheField name="Respiratory Protection Program Management" numFmtId="0">
      <sharedItems containsString="0" containsBlank="1" containsNumber="1" containsInteger="1" minValue="0" maxValue="100"/>
    </cacheField>
    <cacheField name="Safety Managers Course " numFmtId="0">
      <sharedItems containsString="0" containsBlank="1" containsNumber="1" containsInteger="1" minValue="0" maxValue="38"/>
    </cacheField>
    <cacheField name="Workplace Inspection Course (In Development)" numFmtId="0">
      <sharedItems containsString="0" containsBlank="1" containsNumber="1" containsInteger="1" minValue="0" maxValue="65"/>
    </cacheField>
    <cacheField name="Total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ter, Amanda R CIV USN NAVSAFENVTRACEN NOR (USA)" refreshedDate="45778.624984722221" createdVersion="6" refreshedVersion="8" minRefreshableVersion="3" recordCount="332" xr:uid="{00000000-000A-0000-FFFF-FFFF00000000}">
  <cacheSource type="worksheet">
    <worksheetSource name="Table2"/>
  </cacheSource>
  <cacheFields count="37">
    <cacheField name="Comments" numFmtId="0">
      <sharedItems containsBlank="1"/>
    </cacheField>
    <cacheField name="Course Title" numFmtId="0">
      <sharedItems count="33">
        <s v="Afloat Environmental Protection Coordinator (Global Online) "/>
        <s v="Asbestos Inspector Initial"/>
        <s v="Asbestos Inspector Refresher"/>
        <s v="Asbestos Management Planner Initial"/>
        <s v="Asbestos Management Planner Refresher"/>
        <s v="Asbestos Supervisor Initial"/>
        <s v="Asbestos Supervisor Refresher"/>
        <s v="Aviation Safety Specialist (Global Online) "/>
        <s v="Command Function"/>
        <s v="Competent Person for Fall Protection Course (Resident)"/>
        <s v="Confined Space Safety"/>
        <s v="Construction Safety Standards"/>
        <s v="Emergency Asbestos Response Team"/>
        <s v="Fall Protection Program Manager Course (Global Online)"/>
        <s v="General Industry Safety Standards (Global Online) "/>
        <s v="Hazardous Material Control and Management [HMC&amp;M] Technician (Global Online)"/>
        <s v="Hazardous Substance Incident Response Management (HSIRM)"/>
        <s v="Hazardous Substance Incident Response Management (HSIRM) Refresher"/>
        <s v="Holiday"/>
        <s v="Industrial Noise"/>
        <s v="Introduction to Hazardous Materials [Ashore] (Global Online) "/>
        <s v="Introduction to Industrial Hygiene for Safety Professionals (Global Online) "/>
        <s v="Introduction to Naval Safety and Occupational Health (Global Online) "/>
        <s v="Mishap Investigation (Global Online) "/>
        <s v="Mishap Investigation (Resident) "/>
        <s v="Navy Ergonomics Program (Global Online)"/>
        <s v="Operational Risk Management Application &amp; Integration (Global Online)"/>
        <s v="Professional Development Symposium"/>
        <s v="Respiratory Protection Program Management"/>
        <s v="Safety Managers Course"/>
        <s v="Safety Programs Afloat (Resident)"/>
        <s v="Safety Programs Afloat (Global Online) "/>
        <s v="Submarine Safety Officer (Global Online) "/>
      </sharedItems>
    </cacheField>
    <cacheField name="CIN" numFmtId="0">
      <sharedItems/>
    </cacheField>
    <cacheField name="CDP " numFmtId="0">
      <sharedItems containsMixedTypes="1" containsNumber="1" containsInteger="1" minValue="1228" maxValue="5891"/>
    </cacheField>
    <cacheField name="Location" numFmtId="0">
      <sharedItems containsBlank="1" count="75">
        <s v="Global Online"/>
        <s v="Norfolk, VA Classroom 2"/>
        <s v="Pearl Harbor, HI"/>
        <s v="Norfolk, VA Classroom 1"/>
        <s v="Norfolk, VA Other"/>
        <s v="San Diego, CA"/>
        <s v="Cherry Point, NC"/>
        <s v="Mayport, FL"/>
        <s v="Camp Pendleton, CA"/>
        <s v="Jacksonville, FL"/>
        <s v="Port Hueneme, CA"/>
        <s v="Pax River, MD"/>
        <s v="Lemoore, CA"/>
        <s v="Whidbey Island, WA"/>
        <s v="Sigonella, Italy"/>
        <s v="Yokosuka, Japan"/>
        <s v="Bremerton, WA"/>
        <s v="Gulfport, MS"/>
        <s v="Holiday"/>
        <m/>
        <s v="Camp Lejeune, NC"/>
        <s v="Iwakuni, Japan"/>
        <s v="Okinawa, Japan"/>
        <s v="MCAS Miramar"/>
        <s v="MCAS Yuma, AZ"/>
        <s v="Guam"/>
        <s v="Everett, WA"/>
        <s v="Virginia Beach, VA "/>
        <s v="Norfolk, VA Safety Command"/>
        <s v="Norfolk, VA"/>
        <s v="Marine Corps Base Hawaii" u="1"/>
        <s v="Annapolis, MD" u="1"/>
        <s v="Guantanamo Bay, Cuba" u="1"/>
        <s v="Corpus Christi, TX" u="1"/>
        <s v="Coronado, CA" u="1"/>
        <s v="Bahrain" u="1"/>
        <s v="Andros, Bahamas" u="1"/>
        <s v="Quantico, VA" u="1"/>
        <s v="Diego Garcia" u="1"/>
        <s v="Crane, IN" u="1"/>
        <s v="Twenty-nine Palms, CA" u="1"/>
        <s v="Atsugi, Japan" u="1"/>
        <s v="Beaufort, SC" u="1"/>
        <s v="Groton, CT" u="1"/>
        <s v="Indian Head, MD" u="1"/>
        <s v="Panama City, FL" u="1"/>
        <s v="Key West, FL" u="1"/>
        <s v="Sasebo, Japan" u="1"/>
        <s v="Ownings Mills, MD" u="1"/>
        <s v="Baltimore, MD" u="1"/>
        <s v="Kings Bay, GA" u="1"/>
        <s v="Bangor, WA" u="1"/>
        <s v="Pensacola, FL" u="1"/>
        <s v="Hakozaki, Japan" u="1"/>
        <s v="Tsurumi, Japan" u="1"/>
        <s v="Norfolk Naval Shipyard" u="1"/>
        <s v="Hachinohe, Japan" u="1"/>
        <s v=" Atsugi, Japan" u="1"/>
        <s v="Little Creek, VA" u="1"/>
        <s v="Sasebo, Japan " u="1"/>
        <s v="Souda Bay, Greece" u="1"/>
        <s v="Camp Butler, Japan" u="1"/>
        <s v="Oceana, VA" u="1"/>
        <s v="Yorktown, VA" u="1"/>
        <s v="Newport, RI" u="1"/>
        <s v="Rota, Spain" u="1"/>
        <s v="Colts Neck, NJ" u="1"/>
        <s v="Naples, Italy" u="1"/>
        <s v="Portsmouth, NH" u="1"/>
        <s v="New Orleans, LA" u="1"/>
        <s v="Great Lakes, IL" u="1"/>
        <s v="Indian Island, WA" u="1"/>
        <s v="Manchester, WA" u="1"/>
        <s v="PMRF Barking Sands" u="1"/>
        <s v="Singapore" u="1"/>
      </sharedItems>
    </cacheField>
    <cacheField name="Start Date" numFmtId="14">
      <sharedItems containsSemiMixedTypes="0" containsNonDate="0" containsDate="1" containsString="0" minDate="2025-09-29T00:00:00" maxDate="2026-09-29T00:00:00"/>
    </cacheField>
    <cacheField name="End Date" numFmtId="14">
      <sharedItems containsSemiMixedTypes="0" containsNonDate="0" containsDate="1" containsString="0" minDate="2025-05-08T00:00:00" maxDate="2026-10-03T00:00:00"/>
    </cacheField>
    <cacheField name="Resident Local Start Time of location" numFmtId="0">
      <sharedItems containsNonDate="0" containsDate="1" containsString="0" containsBlank="1" minDate="1899-12-30T07:30:00" maxDate="1903-07-23T13:00:00"/>
    </cacheField>
    <cacheField name="EST/EDT Local Live Session Start Time " numFmtId="0">
      <sharedItems containsDate="1" containsString="0" containsBlank="1" containsMixedTypes="1" minDate="1899-12-30T06:00:00" maxDate="1903-01-04T08:00:00"/>
    </cacheField>
    <cacheField name="PST/PDT Local Live Session Start Time " numFmtId="0">
      <sharedItems containsNonDate="0" containsString="0" containsBlank="1"/>
    </cacheField>
    <cacheField name="AST Local Live Session Start Time " numFmtId="0">
      <sharedItems containsNonDate="0" containsString="0" containsBlank="1"/>
    </cacheField>
    <cacheField name="CET/CEST Local Live Session Start Time " numFmtId="0">
      <sharedItems containsNonDate="0" containsString="0" containsBlank="1"/>
    </cacheField>
    <cacheField name="HST Local Live Session Start Time " numFmtId="0">
      <sharedItems containsNonDate="0" containsString="0" containsBlank="1"/>
    </cacheField>
    <cacheField name="JST Local Live Session Start Time " numFmtId="0">
      <sharedItems containsNonDate="0" containsString="0" containsBlank="1"/>
    </cacheField>
    <cacheField name="Primary Instructor" numFmtId="0">
      <sharedItems/>
    </cacheField>
    <cacheField name="Instructor 2" numFmtId="0">
      <sharedItems containsBlank="1"/>
    </cacheField>
    <cacheField name=" Support" numFmtId="0">
      <sharedItems containsBlank="1"/>
    </cacheField>
    <cacheField name="Quotas" numFmtId="0">
      <sharedItems containsSemiMixedTypes="0" containsString="0" containsNumber="1" containsInteger="1" minValue="0" maxValue="100"/>
    </cacheField>
    <cacheField name="Course Length (Hours)" numFmtId="0">
      <sharedItems containsSemiMixedTypes="0" containsString="0" containsNumber="1" containsInteger="1" minValue="0" maxValue="40"/>
    </cacheField>
    <cacheField name="Course Length (Days)" numFmtId="1">
      <sharedItems containsSemiMixedTypes="0" containsString="0" containsNumber="1" minValue="0" maxValue="5"/>
    </cacheField>
    <cacheField name="FY26 Need" numFmtId="1">
      <sharedItems containsString="0" containsBlank="1" containsNumber="1" containsInteger="1" minValue="0" maxValue="1882"/>
    </cacheField>
    <cacheField name="Registered" numFmtId="0">
      <sharedItems containsString="0" containsBlank="1" containsNumber="1" containsInteger="1" minValue="0" maxValue="66"/>
    </cacheField>
    <cacheField name="Waitlisted" numFmtId="0">
      <sharedItems containsString="0" containsBlank="1" containsNumber="1" containsInteger="1" minValue="0" maxValue="0"/>
    </cacheField>
    <cacheField name="Graduates" numFmtId="0">
      <sharedItems containsString="0" containsBlank="1" containsNumber="1" containsInteger="1" minValue="0" maxValue="0"/>
    </cacheField>
    <cacheField name="Fail" numFmtId="0">
      <sharedItems containsString="0" containsBlank="1" containsNumber="1" containsInteger="1" minValue="0" maxValue="0"/>
    </cacheField>
    <cacheField name="No Shows" numFmtId="0">
      <sharedItems containsString="0" containsBlank="1" containsNumber="1" containsInteger="1" minValue="0" maxValue="0"/>
    </cacheField>
    <cacheField name="Walk-ins" numFmtId="0">
      <sharedItems containsString="0" containsBlank="1" containsNumber="1" containsInteger="1" minValue="0" maxValue="0"/>
    </cacheField>
    <cacheField name="Foreign Grads" numFmtId="0">
      <sharedItems containsString="0" containsBlank="1" containsNumber="1" containsInteger="1" minValue="0" maxValue="0"/>
    </cacheField>
    <cacheField name="Column2" numFmtId="0">
      <sharedItems containsBlank="1"/>
    </cacheField>
    <cacheField name="Roster Due" numFmtId="1">
      <sharedItems containsSemiMixedTypes="0" containsString="0" containsNumber="1" containsInteger="1" minValue="9" maxValue="521"/>
    </cacheField>
    <cacheField name="Roster Status" numFmtId="0">
      <sharedItems containsSemiMixedTypes="0" containsString="0" containsNumber="1" containsInteger="1" minValue="0" maxValue="1"/>
    </cacheField>
    <cacheField name="Remaining Courses" numFmtId="0">
      <sharedItems containsSemiMixedTypes="0" containsString="0" containsNumber="1" containsInteger="1" minValue="0" maxValue="1"/>
    </cacheField>
    <cacheField name="1" numFmtId="0">
      <sharedItems containsSemiMixedTypes="0" containsString="0" containsNumber="1" containsInteger="1" minValue="0" maxValue="1"/>
    </cacheField>
    <cacheField name="2" numFmtId="0">
      <sharedItems containsSemiMixedTypes="0" containsString="0" containsNumber="1" containsInteger="1" minValue="0" maxValue="1"/>
    </cacheField>
    <cacheField name="Total" numFmtId="0">
      <sharedItems containsMixedTypes="1" containsNumber="1" containsInteger="1" minValue="0" maxValue="40"/>
    </cacheField>
    <cacheField name="Open Quotas" numFmtId="0">
      <sharedItems containsString="0" containsBlank="1" containsNumber="1" containsInteger="1" minValue="0" maxValue="0"/>
    </cacheField>
    <cacheField name="QTR" numFmtId="0">
      <sharedItems containsString="0" containsBlank="1" containsNumber="1" containsInteger="1" minValue="1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ter, Amanda R CIV USN NAVSAFENVTRACEN NOR (USA)" refreshedDate="45785.582854513887" createdVersion="8" refreshedVersion="8" minRefreshableVersion="3" recordCount="715" xr:uid="{CE85A03C-F016-4DDC-B46D-977D508B8338}">
  <cacheSource type="worksheet">
    <worksheetSource name="Table14" r:id="rId2"/>
  </cacheSource>
  <cacheFields count="9">
    <cacheField name="Command" numFmtId="0">
      <sharedItems count="56">
        <s v="BUMED"/>
        <s v="U.S. SEVENTH Fleet"/>
        <s v="Commander Fleet Readiness Centers"/>
        <s v="USNMRTC GUANTANAMO BAY"/>
        <s v="NMRTC Beaufort, Beaufort SC"/>
        <s v="U.S. Fleet Cyber Command (N00055)"/>
        <s v="NAVFAC MIDLANT "/>
        <s v="NAVMEDFORLANT"/>
        <s v="Naval Education and Training Command (NETC)"/>
        <s v="NIWC LANT"/>
        <s v="NMFP"/>
        <s v="Naval Medical Readiness Logistics Command"/>
        <s v="NMRTC Corpus Christi"/>
        <s v="NMRTC Patuxent River"/>
        <s v="NMRTC Portsmouth"/>
        <s v="NAVMEDREADTRNCMD NEW ENGLAND NEWPORT RI"/>
        <s v="Southeast"/>
        <s v="Navy Medicine Readiness and Training Command Charleston"/>
        <s v="Marine Corps"/>
        <s v="Naval Air Systems Command"/>
        <s v="NAVFAC PWD CLDJ"/>
        <s v="NAVFAC HI"/>
        <s v="NAVFAC Washington"/>
        <s v="NAVFAC Marianas"/>
        <s v="Naval Facilities Engineering Systems Command"/>
        <s v="Naval Sea Systems Command"/>
        <s v="Naval Information Warfare Systems (NAVWAR)"/>
        <s v="NAVFAC FE"/>
        <s v="Naval Hospital Rota, Spain"/>
        <s v="Naval Information Warfare Center (NIWC) Pacific"/>
        <s v="NAVY MEDICINE OPERATIONAL TRAINING COMMAND"/>
        <s v="NMRTC CL/NMC Camp Lejeune"/>
        <s v="NAWCAD "/>
        <s v="NMRTC Jacksonville (including NMRTU Kings Bay, Mayport and Albany)"/>
        <s v="MNRTC QUANTCO"/>
        <s v="NMRTC Naples"/>
        <s v="Officer In Charge of Construction, PNSY"/>
        <s v="OPTEVFOR "/>
        <s v="PACFLT"/>
        <s v="SSP"/>
        <s v="US Fleet Forces"/>
        <s v="USNMRTC Sigonella, Italy"/>
        <s v="Navy Munitions Command Pacific CONUS West Division"/>
        <s v="Navy and Marine Corps Force Health Protection Command"/>
        <s v="Commander, Naval District Washington"/>
        <s v="COMSUBPAC"/>
        <s v="COMNAVSURFPAC"/>
        <s v="COMNAVSURFPAC N54"/>
        <s v="Commander, Navy Reserve Command"/>
        <s v="Commander, Naval Legal Service Command"/>
        <s v="CNIC"/>
        <s v="CNAP"/>
        <s v="C3F"/>
        <s v="Naval Supply Systems Command"/>
        <s v="NAWCWD"/>
        <s v="Navy Crane Center" u="1"/>
      </sharedItems>
    </cacheField>
    <cacheField name="Course Title/Preferred Time Zone" numFmtId="0">
      <sharedItems count="24">
        <s v="Aviation Safety Specialist  (Global Online)"/>
        <s v="Fall Protection Program Manager (Global Online)"/>
        <s v="General Industry Safety Standards  (Global Online)"/>
        <s v="Hazardous Material Control and Management (HMC&amp;M) Technician  (Global Online)"/>
        <s v="Introduction to Hazardous Materials Ashore  (Global Online)"/>
        <s v="Introduction to Industrial Hygiene for Safety Professionals  (Global Online)"/>
        <s v="Introduction to Naval Safety and Occupational Health (Global Online)"/>
        <s v="Machinery &amp; Machine Guarding Standards  (Global Online)"/>
        <s v="Mishap Investigation  (Global Online)"/>
        <s v="Navy Ergonomics Program (Global Online)"/>
        <s v="Operational Risk Management Application &amp; Integration Course  (Global Online)"/>
        <s v="Safety Programs Afloat  (Global Online)"/>
        <s v="Submarine Safety Officer  (Global Online)"/>
        <s v="Safety Programs Afloat  (Global Online) " u="1"/>
        <s v="Afloat Environmental Protection Coordinator (Global Online)" u="1"/>
        <s v="Occupational Health Program Manager (In Development)" u="1"/>
        <s v="Safety Programs Afloat  (Global Online) (A-493-2098)" u="1"/>
        <s v="Safety Managers Course (In Development)" u="1"/>
        <s v="Workplace Inspectors Course (In Development)" u="1"/>
        <s v="Introduction to Naval Safety and Occupational Health Ashore  (Global Online)" u="1"/>
        <s v="Electrical Standards (297)" u="1"/>
        <s v="General Industry Safety Standards [511] (68)" u="1"/>
        <s v="Machinery and Machine Guarding Standards (1041)" u="1"/>
        <s v="Navy Ergonomics Program Course (248)" u="1"/>
      </sharedItems>
    </cacheField>
    <cacheField name="AST" numFmtId="0">
      <sharedItems containsString="0" containsBlank="1" containsNumber="1" containsInteger="1" minValue="0" maxValue="70"/>
    </cacheField>
    <cacheField name="CET/CEST" numFmtId="0">
      <sharedItems containsString="0" containsBlank="1" containsNumber="1" containsInteger="1" minValue="0" maxValue="28"/>
    </cacheField>
    <cacheField name="EST/EDT" numFmtId="0">
      <sharedItems containsString="0" containsBlank="1" containsNumber="1" containsInteger="1" minValue="0" maxValue="776"/>
    </cacheField>
    <cacheField name="HST" numFmtId="0">
      <sharedItems containsString="0" containsBlank="1" containsNumber="1" containsInteger="1" minValue="0" maxValue="60"/>
    </cacheField>
    <cacheField name="JST" numFmtId="0">
      <sharedItems containsString="0" containsBlank="1" containsNumber="1" containsInteger="1" minValue="0" maxValue="112"/>
    </cacheField>
    <cacheField name="PST/PDT " numFmtId="0">
      <sharedItems containsString="0" containsBlank="1" containsNumber="1" containsInteger="1" minValue="0" maxValue="440"/>
    </cacheField>
    <cacheField name="Total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ter, Amanda R CIV USN NAVSAFENVTRACEN NOR (USA)" refreshedDate="45772.378382060182" createdVersion="8" refreshedVersion="8" minRefreshableVersion="3" recordCount="696" xr:uid="{631826D1-503F-4928-8D48-E800DE58B41F}">
  <cacheSource type="worksheet">
    <worksheetSource name="Table4" r:id="rId2"/>
  </cacheSource>
  <cacheFields count="12">
    <cacheField name="Command Name" numFmtId="0">
      <sharedItems containsBlank="1" count="11">
        <s v="USFF"/>
        <s v="PACFLT"/>
        <s v="Naval History and Heritage Command"/>
        <s v="NAVSEA"/>
        <s v="Naval Air Systems Command"/>
        <s v="USMC-SAF"/>
        <s v="NAVSUPSYSCOM HQ"/>
        <s v="All BSOs - Roll Up"/>
        <s v="USMC- EEM "/>
        <m/>
        <s v="Marine Corps" u="1"/>
      </sharedItems>
    </cacheField>
    <cacheField name="Location/Course Title" numFmtId="0">
      <sharedItems containsBlank="1" count="97">
        <s v="Annapolis, MD"/>
        <s v="Atsugi, Japan"/>
        <s v="Bahrain "/>
        <s v="Bangor, WA"/>
        <s v="Bremerton, WA"/>
        <s v="Camp Lejeune, NC"/>
        <s v="Chinhae, Korea"/>
        <s v="Colts Neck, NJ"/>
        <s v="Coronado, CA"/>
        <s v="Corpus Christi, TX"/>
        <s v="Crane, IN"/>
        <s v="Diego Garcia"/>
        <s v="Everett, WA"/>
        <s v="Fallon, NV "/>
        <s v="Great Lakes, IL"/>
        <s v="Guam"/>
        <s v="Guantanamo Bay, Cuba"/>
        <s v="Gulfport, MS"/>
        <s v="Indian Head, MD"/>
        <s v="Indian Island, WA"/>
        <s v="Jacksonville, FL"/>
        <s v="Kekaha, HI"/>
        <s v="Keyport, WA "/>
        <s v="Kingsbay, GA"/>
        <s v="Kingsville, TX"/>
        <s v="Lemoore, CA"/>
        <s v="Mayport, FL"/>
        <s v="Mid South, TN"/>
        <s v="Naples, Italy"/>
        <s v="New London, CT/Groton"/>
        <s v="Newport, RI"/>
        <s v="Norfolk, VA"/>
        <s v="Okinawa, Japan"/>
        <s v="Panama City, FL"/>
        <s v="Patuxent River, MD"/>
        <s v="Pearl Harbor, HI"/>
        <s v="Pensacola, FL"/>
        <s v="Point Loma, CA"/>
        <s v="Port Hueneme, CA"/>
        <s v="Portsmouth, NH"/>
        <s v="Rota, Spain"/>
        <s v="San Clemente Island, CA"/>
        <s v="San Diego, CA"/>
        <s v="Sasebo, Japan"/>
        <s v="Seal Beach, CA"/>
        <s v="Sigonella, Italy"/>
        <s v="Souda Bay, Greece"/>
        <s v="Ventura County, CA"/>
        <s v="Virginia Beach, VA "/>
        <s v="Washington, DC"/>
        <s v="Whidbey Island, WA"/>
        <s v="Yokosuka, Japan"/>
        <s v="Camp Mujuk"/>
        <s v="MCAS New River"/>
        <s v="MCB Camp Lejeune"/>
        <s v="MCLB Albany"/>
        <s v="MCAGCC Twentynine Palms"/>
        <s v="MCAS Beaufort"/>
        <s v="MCAS Iwakuni"/>
        <s v="MCAS Cherry Point"/>
        <s v="MCB Okinawa"/>
        <s v="MCB Camp Pendleton"/>
        <s v="MCRD Parris Island"/>
        <s v="MCSF Blount Island"/>
        <s v="MCB Hawaii"/>
        <s v="MCAS Miramar"/>
        <s v="MCRD San Diego"/>
        <s v="China Lake (Ridgecrest), CA"/>
        <s v="CLDJ, Djibouti"/>
        <s v="Deveselu, Romania"/>
        <s v="El Centro, CA"/>
        <s v="Fort Worth, TX"/>
        <s v="Key West, FL"/>
        <s v="Mechanicsburg, PA"/>
        <s v="Monterey, CA"/>
        <s v="New Orleans, LA"/>
        <s v="Redzikowo, Poland"/>
        <s v="Singapore, SG"/>
        <s v="Andros, Bahamas"/>
        <s v="Whiting Field, FL"/>
        <s v="Singapore Area Coordinator"/>
        <s v="Misawa, Japan"/>
        <s v="Hachinohe, Japan (NAVSUP FLCY)"/>
        <s v="Hakozaki, Japan (NAVSUP FLCY)"/>
        <s v="Tsurumi, Japan (NAVSUP FLCY)"/>
        <s v="Support Facilit Diego Garcia"/>
        <s v="Yorktown, Va"/>
        <s v="Manchester, WA"/>
        <s v="Camp Lemonnier, Djibouti"/>
        <s v="MCB Quantico"/>
        <s v="MCB Butler"/>
        <s v="MCB Mujuk"/>
        <s v="MCLB 29 Palms"/>
        <s v="MCAS Yuma"/>
        <s v="MCAB Fuji"/>
        <m/>
        <s v="Sasebo, Japan (NAVSUP FLCS)" u="1"/>
      </sharedItems>
    </cacheField>
    <cacheField name="Facility Response Team Five Day" numFmtId="0">
      <sharedItems containsString="0" containsBlank="1" containsNumber="1" containsInteger="1" minValue="1" maxValue="40"/>
    </cacheField>
    <cacheField name="Facility Response Team Three Day" numFmtId="0">
      <sharedItems containsString="0" containsBlank="1" containsNumber="1" containsInteger="1" minValue="0" maxValue="40"/>
    </cacheField>
    <cacheField name="Hazardous Substance Incident Response Management" numFmtId="0">
      <sharedItems containsString="0" containsBlank="1" containsNumber="1" containsInteger="1" minValue="0" maxValue="50"/>
    </cacheField>
    <cacheField name="Hazardous Substance Incident Response Management  Refresher" numFmtId="0">
      <sharedItems containsString="0" containsBlank="1" containsNumber="1" containsInteger="1" minValue="0" maxValue="60"/>
    </cacheField>
    <cacheField name="Incident Command System 300 " numFmtId="0">
      <sharedItems containsString="0" containsBlank="1" containsNumber="1" containsInteger="1" minValue="1" maxValue="30"/>
    </cacheField>
    <cacheField name="Incident Command System 300 Refresher" numFmtId="0">
      <sharedItems containsString="0" containsBlank="1" containsNumber="1" containsInteger="1" minValue="0" maxValue="30"/>
    </cacheField>
    <cacheField name="Incident Command System 400 " numFmtId="0">
      <sharedItems containsString="0" containsBlank="1" containsNumber="1" containsInteger="1" minValue="1" maxValue="30"/>
    </cacheField>
    <cacheField name="Oil Hazardous Substance Spill Response Tabletop Exercise " numFmtId="0">
      <sharedItems containsString="0" containsBlank="1" containsNumber="1" containsInteger="1" minValue="1" maxValue="40"/>
    </cacheField>
    <cacheField name="Tank Managers Course" numFmtId="0">
      <sharedItems containsString="0" containsBlank="1" containsNumber="1" containsInteger="1" minValue="1" maxValue="30"/>
    </cacheField>
    <cacheField name="Totals" numFmtId="0">
      <sharedItems containsSemiMixedTypes="0" containsString="0" containsNumber="1" containsInteger="1" minValue="0" maxValue="2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ter, Amanda R CIV USN NAVSAFENVTRACEN NOR (USA)" refreshedDate="45737.37752800926" createdVersion="8" refreshedVersion="8" minRefreshableVersion="3" recordCount="696" xr:uid="{051614A4-5EA4-4B17-A59A-4768A2FAE1A0}">
  <cacheSource type="worksheet">
    <worksheetSource name="Table14" r:id="rId2"/>
  </cacheSource>
  <cacheFields count="9">
    <cacheField name="Command Name" numFmtId="0">
      <sharedItems containsBlank="1" count="9">
        <s v="USFF"/>
        <s v="PACFLT"/>
        <s v="Naval History and Heritage Command"/>
        <s v="NAVSEA"/>
        <s v="Naval Air Systems Command"/>
        <s v="Marine Corps"/>
        <s v="NAVSUPSYSCOM HQ"/>
        <s v="All BSOs - Roll Up"/>
        <m/>
      </sharedItems>
    </cacheField>
    <cacheField name="Course Title/Preferred Time Zone" numFmtId="0">
      <sharedItems containsBlank="1" count="4">
        <s v="Afloat Environmental Protection Coordinator (Global Online)"/>
        <s v="Hazardous Substance Incident Response Management (HSIRM) Refresher"/>
        <m/>
        <s v="Hazardous Substance Incident Response Management (HSIRM)" u="1"/>
      </sharedItems>
    </cacheField>
    <cacheField name="AST" numFmtId="0">
      <sharedItems containsString="0" containsBlank="1" containsNumber="1" containsInteger="1" minValue="0" maxValue="20"/>
    </cacheField>
    <cacheField name="CET/CEST" numFmtId="0">
      <sharedItems containsString="0" containsBlank="1" containsNumber="1" containsInteger="1" minValue="0" maxValue="18"/>
    </cacheField>
    <cacheField name="EST/EDT" numFmtId="0">
      <sharedItems containsString="0" containsBlank="1" containsNumber="1" containsInteger="1" minValue="1" maxValue="69"/>
    </cacheField>
    <cacheField name="HST" numFmtId="0">
      <sharedItems containsString="0" containsBlank="1" containsNumber="1" containsInteger="1" minValue="1" maxValue="38"/>
    </cacheField>
    <cacheField name="JST" numFmtId="0">
      <sharedItems containsString="0" containsBlank="1" containsNumber="1" containsInteger="1" minValue="0" maxValue="22"/>
    </cacheField>
    <cacheField name="PST/PDT " numFmtId="0">
      <sharedItems containsString="0" containsBlank="1" containsNumber="1" containsInteger="1" minValue="1" maxValue="42"/>
    </cacheField>
    <cacheField name="Totals" numFmtId="0">
      <sharedItems containsSemiMixedTypes="0" containsString="0" containsNumber="1" containsInteger="1" minValue="0" maxValue="1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55">
  <r>
    <x v="0"/>
    <x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"/>
    <n v="1"/>
    <n v="0"/>
    <n v="1"/>
    <n v="0"/>
    <n v="1"/>
    <n v="0"/>
    <n v="0"/>
    <n v="0"/>
    <n v="0"/>
    <n v="0"/>
    <n v="0"/>
    <n v="3"/>
    <n v="0"/>
    <n v="1"/>
    <n v="0"/>
    <n v="0"/>
    <m/>
  </r>
  <r>
    <x v="0"/>
    <x v="2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3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4"/>
    <n v="0"/>
    <n v="0"/>
    <n v="0"/>
    <n v="0"/>
    <n v="0"/>
    <n v="0"/>
    <n v="0"/>
    <n v="0"/>
    <n v="0"/>
    <n v="0"/>
    <n v="0"/>
    <n v="2"/>
    <n v="0"/>
    <n v="3"/>
    <n v="0"/>
    <n v="0"/>
    <m/>
  </r>
  <r>
    <x v="0"/>
    <x v="5"/>
    <n v="0"/>
    <n v="0"/>
    <n v="0"/>
    <n v="0"/>
    <n v="0"/>
    <n v="0"/>
    <n v="2"/>
    <n v="4"/>
    <n v="2"/>
    <n v="0"/>
    <n v="4"/>
    <n v="2"/>
    <n v="2"/>
    <n v="0"/>
    <n v="1"/>
    <n v="0"/>
    <m/>
  </r>
  <r>
    <x v="0"/>
    <x v="6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7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8"/>
    <n v="0"/>
    <n v="0"/>
    <n v="0"/>
    <n v="0"/>
    <n v="0"/>
    <n v="0"/>
    <n v="0"/>
    <n v="2"/>
    <n v="0"/>
    <n v="0"/>
    <n v="0"/>
    <n v="6"/>
    <n v="0"/>
    <n v="6"/>
    <n v="0"/>
    <n v="0"/>
    <m/>
  </r>
  <r>
    <x v="0"/>
    <x v="9"/>
    <n v="0"/>
    <n v="0"/>
    <n v="0"/>
    <n v="0"/>
    <n v="0"/>
    <n v="0"/>
    <n v="1"/>
    <n v="0"/>
    <n v="0"/>
    <n v="0"/>
    <n v="1"/>
    <n v="0"/>
    <n v="1"/>
    <n v="1"/>
    <n v="1"/>
    <n v="1"/>
    <m/>
  </r>
  <r>
    <x v="0"/>
    <x v="1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1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2"/>
    <n v="0"/>
    <n v="0"/>
    <n v="0"/>
    <n v="0"/>
    <n v="0"/>
    <n v="0"/>
    <n v="0"/>
    <n v="0"/>
    <n v="0"/>
    <n v="0"/>
    <n v="0"/>
    <n v="2"/>
    <n v="0"/>
    <n v="2"/>
    <n v="0"/>
    <n v="0"/>
    <m/>
  </r>
  <r>
    <x v="0"/>
    <x v="13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4"/>
    <n v="0"/>
    <n v="0"/>
    <n v="0"/>
    <n v="0"/>
    <n v="0"/>
    <n v="0"/>
    <n v="0"/>
    <n v="0"/>
    <n v="0"/>
    <n v="0"/>
    <n v="0"/>
    <n v="1"/>
    <n v="0"/>
    <n v="1"/>
    <n v="0"/>
    <n v="0"/>
    <m/>
  </r>
  <r>
    <x v="0"/>
    <x v="15"/>
    <n v="7"/>
    <n v="0"/>
    <n v="5"/>
    <n v="0"/>
    <n v="5"/>
    <n v="0"/>
    <n v="0"/>
    <n v="0"/>
    <n v="0"/>
    <n v="0"/>
    <n v="0"/>
    <n v="7"/>
    <n v="0"/>
    <n v="4"/>
    <n v="0"/>
    <n v="0"/>
    <m/>
  </r>
  <r>
    <x v="0"/>
    <x v="16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7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8"/>
    <n v="5"/>
    <n v="0"/>
    <n v="0"/>
    <n v="0"/>
    <n v="0"/>
    <n v="0"/>
    <n v="0"/>
    <n v="0"/>
    <n v="0"/>
    <n v="0"/>
    <n v="0"/>
    <n v="1"/>
    <n v="0"/>
    <n v="0"/>
    <n v="0"/>
    <n v="0"/>
    <m/>
  </r>
  <r>
    <x v="0"/>
    <x v="19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0"/>
    <n v="0"/>
    <n v="0"/>
    <n v="0"/>
    <n v="0"/>
    <n v="0"/>
    <n v="0"/>
    <n v="0"/>
    <n v="4"/>
    <n v="1"/>
    <n v="4"/>
    <n v="5"/>
    <n v="8"/>
    <n v="1"/>
    <n v="9"/>
    <n v="3"/>
    <n v="2"/>
    <m/>
  </r>
  <r>
    <x v="0"/>
    <x v="21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2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3"/>
    <n v="0"/>
    <n v="0"/>
    <n v="0"/>
    <n v="0"/>
    <n v="0"/>
    <n v="0"/>
    <n v="0"/>
    <n v="4"/>
    <n v="0"/>
    <n v="4"/>
    <n v="0"/>
    <n v="8"/>
    <n v="0"/>
    <n v="4"/>
    <n v="0"/>
    <n v="0"/>
    <m/>
  </r>
  <r>
    <x v="0"/>
    <x v="24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5"/>
    <n v="0"/>
    <n v="0"/>
    <n v="0"/>
    <n v="0"/>
    <n v="0"/>
    <n v="0"/>
    <n v="0"/>
    <n v="0"/>
    <n v="0"/>
    <n v="0"/>
    <n v="0"/>
    <n v="1"/>
    <n v="1"/>
    <n v="1"/>
    <n v="1"/>
    <n v="0"/>
    <m/>
  </r>
  <r>
    <x v="0"/>
    <x v="26"/>
    <n v="0"/>
    <n v="0"/>
    <n v="0"/>
    <n v="0"/>
    <n v="0"/>
    <n v="0"/>
    <n v="0"/>
    <n v="4"/>
    <n v="0"/>
    <n v="4"/>
    <n v="0"/>
    <n v="8"/>
    <n v="0"/>
    <n v="4"/>
    <n v="0"/>
    <n v="0"/>
    <m/>
  </r>
  <r>
    <x v="0"/>
    <x v="27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8"/>
    <n v="0"/>
    <n v="0"/>
    <n v="0"/>
    <n v="0"/>
    <n v="0"/>
    <n v="0"/>
    <n v="0"/>
    <n v="0"/>
    <n v="0"/>
    <n v="0"/>
    <n v="3"/>
    <n v="2"/>
    <n v="3"/>
    <n v="2"/>
    <n v="2"/>
    <n v="3"/>
    <m/>
  </r>
  <r>
    <x v="0"/>
    <x v="29"/>
    <n v="0"/>
    <n v="0"/>
    <n v="0"/>
    <n v="0"/>
    <n v="0"/>
    <n v="0"/>
    <n v="3"/>
    <n v="0"/>
    <n v="5"/>
    <n v="0"/>
    <n v="3"/>
    <n v="5"/>
    <n v="1"/>
    <n v="3"/>
    <n v="0"/>
    <n v="8"/>
    <m/>
  </r>
  <r>
    <x v="0"/>
    <x v="30"/>
    <n v="0"/>
    <n v="0"/>
    <n v="0"/>
    <n v="0"/>
    <n v="0"/>
    <n v="0"/>
    <n v="4"/>
    <n v="0"/>
    <n v="5"/>
    <n v="0"/>
    <n v="4"/>
    <n v="5"/>
    <n v="0"/>
    <n v="4"/>
    <n v="0"/>
    <n v="4"/>
    <m/>
  </r>
  <r>
    <x v="0"/>
    <x v="31"/>
    <n v="44"/>
    <n v="0"/>
    <n v="1"/>
    <n v="0"/>
    <n v="0"/>
    <n v="0"/>
    <n v="38"/>
    <n v="37"/>
    <n v="1"/>
    <n v="0"/>
    <n v="6"/>
    <n v="21"/>
    <n v="6"/>
    <n v="16"/>
    <n v="6"/>
    <n v="12"/>
    <m/>
  </r>
  <r>
    <x v="0"/>
    <x v="32"/>
    <n v="11"/>
    <n v="11"/>
    <n v="11"/>
    <n v="11"/>
    <n v="4"/>
    <n v="4"/>
    <n v="0"/>
    <n v="0"/>
    <n v="0"/>
    <n v="2"/>
    <n v="0"/>
    <n v="11"/>
    <n v="12"/>
    <n v="2"/>
    <n v="0"/>
    <n v="12"/>
    <m/>
  </r>
  <r>
    <x v="0"/>
    <x v="33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34"/>
    <n v="4"/>
    <n v="0"/>
    <n v="0"/>
    <n v="0"/>
    <n v="0"/>
    <n v="0"/>
    <n v="0"/>
    <n v="0"/>
    <n v="0"/>
    <n v="0"/>
    <n v="0"/>
    <n v="1"/>
    <n v="1"/>
    <n v="0"/>
    <n v="0"/>
    <n v="0"/>
    <m/>
  </r>
  <r>
    <x v="0"/>
    <x v="35"/>
    <n v="7"/>
    <n v="11"/>
    <n v="2"/>
    <n v="10"/>
    <n v="2"/>
    <n v="0"/>
    <n v="2"/>
    <n v="3"/>
    <n v="2"/>
    <n v="2"/>
    <n v="5"/>
    <n v="8"/>
    <n v="2"/>
    <n v="8"/>
    <n v="2"/>
    <n v="8"/>
    <m/>
  </r>
  <r>
    <x v="0"/>
    <x v="36"/>
    <n v="0"/>
    <n v="0"/>
    <n v="0"/>
    <n v="0"/>
    <n v="0"/>
    <n v="0"/>
    <n v="4"/>
    <n v="2"/>
    <n v="1"/>
    <n v="0"/>
    <n v="2"/>
    <n v="6"/>
    <n v="1"/>
    <n v="6"/>
    <n v="1"/>
    <n v="1"/>
    <m/>
  </r>
  <r>
    <x v="0"/>
    <x v="37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38"/>
    <n v="0"/>
    <n v="0"/>
    <n v="0"/>
    <n v="0"/>
    <n v="0"/>
    <n v="0"/>
    <n v="0"/>
    <n v="1"/>
    <n v="3"/>
    <n v="0"/>
    <n v="0"/>
    <n v="2"/>
    <n v="0"/>
    <n v="2"/>
    <n v="0"/>
    <n v="0"/>
    <m/>
  </r>
  <r>
    <x v="0"/>
    <x v="39"/>
    <n v="0"/>
    <n v="0"/>
    <n v="0"/>
    <n v="0"/>
    <n v="0"/>
    <n v="0"/>
    <n v="3"/>
    <n v="0"/>
    <n v="5"/>
    <n v="0"/>
    <n v="2"/>
    <n v="5"/>
    <n v="1"/>
    <n v="2"/>
    <n v="0"/>
    <n v="7"/>
    <m/>
  </r>
  <r>
    <x v="0"/>
    <x v="40"/>
    <n v="0"/>
    <n v="0"/>
    <n v="0"/>
    <n v="0"/>
    <n v="0"/>
    <n v="0"/>
    <n v="0"/>
    <n v="0"/>
    <n v="0"/>
    <n v="0"/>
    <n v="2"/>
    <n v="0"/>
    <n v="0"/>
    <n v="2"/>
    <n v="1"/>
    <n v="0"/>
    <m/>
  </r>
  <r>
    <x v="0"/>
    <x v="41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42"/>
    <n v="0"/>
    <n v="0"/>
    <n v="0"/>
    <n v="0"/>
    <n v="0"/>
    <n v="0"/>
    <n v="1"/>
    <n v="2"/>
    <n v="0"/>
    <n v="0"/>
    <n v="0"/>
    <n v="10"/>
    <n v="0"/>
    <n v="10"/>
    <n v="1"/>
    <n v="0"/>
    <m/>
  </r>
  <r>
    <x v="0"/>
    <x v="43"/>
    <n v="2"/>
    <n v="0"/>
    <n v="2"/>
    <n v="0"/>
    <n v="2"/>
    <n v="0"/>
    <n v="2"/>
    <n v="0"/>
    <n v="0"/>
    <n v="0"/>
    <n v="0"/>
    <n v="3"/>
    <n v="0"/>
    <n v="1"/>
    <n v="0"/>
    <n v="0"/>
    <m/>
  </r>
  <r>
    <x v="0"/>
    <x v="44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45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46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47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48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49"/>
    <n v="0"/>
    <n v="0"/>
    <n v="0"/>
    <n v="0"/>
    <n v="0"/>
    <n v="0"/>
    <n v="0"/>
    <n v="0"/>
    <n v="0"/>
    <n v="0"/>
    <n v="0"/>
    <n v="2"/>
    <n v="1"/>
    <n v="2"/>
    <n v="1"/>
    <n v="1"/>
    <m/>
  </r>
  <r>
    <x v="0"/>
    <x v="5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51"/>
    <n v="3"/>
    <n v="0"/>
    <n v="3"/>
    <n v="0"/>
    <n v="3"/>
    <n v="0"/>
    <n v="3"/>
    <n v="0"/>
    <n v="0"/>
    <n v="0"/>
    <n v="0"/>
    <n v="7"/>
    <n v="0"/>
    <n v="2"/>
    <n v="0"/>
    <n v="0"/>
    <m/>
  </r>
  <r>
    <x v="1"/>
    <x v="0"/>
    <m/>
    <m/>
    <m/>
    <m/>
    <m/>
    <m/>
    <m/>
    <m/>
    <m/>
    <m/>
    <m/>
    <m/>
    <m/>
    <m/>
    <m/>
    <m/>
    <m/>
  </r>
  <r>
    <x v="1"/>
    <x v="1"/>
    <m/>
    <m/>
    <m/>
    <m/>
    <m/>
    <m/>
    <m/>
    <m/>
    <m/>
    <m/>
    <m/>
    <m/>
    <m/>
    <m/>
    <m/>
    <m/>
    <m/>
  </r>
  <r>
    <x v="1"/>
    <x v="2"/>
    <m/>
    <m/>
    <m/>
    <m/>
    <m/>
    <m/>
    <m/>
    <m/>
    <m/>
    <m/>
    <m/>
    <m/>
    <m/>
    <m/>
    <m/>
    <m/>
    <m/>
  </r>
  <r>
    <x v="1"/>
    <x v="3"/>
    <m/>
    <m/>
    <m/>
    <m/>
    <m/>
    <m/>
    <m/>
    <m/>
    <m/>
    <m/>
    <m/>
    <m/>
    <m/>
    <m/>
    <m/>
    <m/>
    <m/>
  </r>
  <r>
    <x v="1"/>
    <x v="4"/>
    <m/>
    <m/>
    <m/>
    <m/>
    <m/>
    <m/>
    <m/>
    <m/>
    <m/>
    <m/>
    <m/>
    <m/>
    <m/>
    <m/>
    <m/>
    <m/>
    <m/>
  </r>
  <r>
    <x v="1"/>
    <x v="5"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m/>
    <m/>
    <m/>
  </r>
  <r>
    <x v="1"/>
    <x v="8"/>
    <m/>
    <m/>
    <m/>
    <m/>
    <m/>
    <m/>
    <m/>
    <m/>
    <m/>
    <m/>
    <m/>
    <m/>
    <m/>
    <m/>
    <m/>
    <m/>
    <m/>
  </r>
  <r>
    <x v="1"/>
    <x v="9"/>
    <m/>
    <m/>
    <m/>
    <m/>
    <m/>
    <m/>
    <m/>
    <m/>
    <m/>
    <m/>
    <m/>
    <m/>
    <m/>
    <m/>
    <m/>
    <m/>
    <m/>
  </r>
  <r>
    <x v="1"/>
    <x v="10"/>
    <m/>
    <m/>
    <m/>
    <m/>
    <m/>
    <m/>
    <m/>
    <m/>
    <m/>
    <m/>
    <m/>
    <m/>
    <m/>
    <m/>
    <m/>
    <m/>
    <m/>
  </r>
  <r>
    <x v="1"/>
    <x v="11"/>
    <m/>
    <m/>
    <m/>
    <m/>
    <m/>
    <m/>
    <m/>
    <m/>
    <m/>
    <m/>
    <m/>
    <m/>
    <m/>
    <m/>
    <m/>
    <m/>
    <m/>
  </r>
  <r>
    <x v="1"/>
    <x v="12"/>
    <m/>
    <m/>
    <m/>
    <m/>
    <m/>
    <m/>
    <m/>
    <m/>
    <m/>
    <m/>
    <m/>
    <m/>
    <m/>
    <m/>
    <m/>
    <m/>
    <m/>
  </r>
  <r>
    <x v="1"/>
    <x v="13"/>
    <m/>
    <m/>
    <m/>
    <m/>
    <m/>
    <m/>
    <m/>
    <m/>
    <m/>
    <m/>
    <m/>
    <m/>
    <m/>
    <m/>
    <m/>
    <m/>
    <m/>
  </r>
  <r>
    <x v="1"/>
    <x v="14"/>
    <m/>
    <m/>
    <m/>
    <m/>
    <m/>
    <m/>
    <m/>
    <m/>
    <m/>
    <m/>
    <m/>
    <m/>
    <m/>
    <m/>
    <m/>
    <m/>
    <m/>
  </r>
  <r>
    <x v="1"/>
    <x v="15"/>
    <m/>
    <m/>
    <m/>
    <m/>
    <m/>
    <m/>
    <m/>
    <m/>
    <m/>
    <m/>
    <m/>
    <m/>
    <m/>
    <m/>
    <m/>
    <m/>
    <m/>
  </r>
  <r>
    <x v="1"/>
    <x v="16"/>
    <m/>
    <m/>
    <m/>
    <m/>
    <m/>
    <m/>
    <m/>
    <m/>
    <m/>
    <m/>
    <m/>
    <m/>
    <m/>
    <m/>
    <m/>
    <m/>
    <m/>
  </r>
  <r>
    <x v="1"/>
    <x v="17"/>
    <m/>
    <m/>
    <m/>
    <m/>
    <m/>
    <m/>
    <m/>
    <m/>
    <m/>
    <m/>
    <m/>
    <m/>
    <m/>
    <m/>
    <m/>
    <m/>
    <m/>
  </r>
  <r>
    <x v="1"/>
    <x v="18"/>
    <m/>
    <m/>
    <m/>
    <m/>
    <m/>
    <m/>
    <m/>
    <m/>
    <m/>
    <m/>
    <m/>
    <m/>
    <m/>
    <m/>
    <m/>
    <m/>
    <m/>
  </r>
  <r>
    <x v="1"/>
    <x v="19"/>
    <m/>
    <m/>
    <m/>
    <m/>
    <m/>
    <m/>
    <m/>
    <m/>
    <m/>
    <m/>
    <m/>
    <m/>
    <m/>
    <m/>
    <m/>
    <m/>
    <m/>
  </r>
  <r>
    <x v="1"/>
    <x v="20"/>
    <m/>
    <m/>
    <m/>
    <m/>
    <m/>
    <m/>
    <m/>
    <m/>
    <m/>
    <m/>
    <m/>
    <m/>
    <m/>
    <m/>
    <m/>
    <m/>
    <m/>
  </r>
  <r>
    <x v="1"/>
    <x v="21"/>
    <m/>
    <m/>
    <m/>
    <m/>
    <m/>
    <m/>
    <m/>
    <m/>
    <m/>
    <m/>
    <m/>
    <m/>
    <m/>
    <m/>
    <m/>
    <m/>
    <m/>
  </r>
  <r>
    <x v="1"/>
    <x v="22"/>
    <m/>
    <m/>
    <m/>
    <m/>
    <m/>
    <m/>
    <m/>
    <m/>
    <m/>
    <m/>
    <m/>
    <m/>
    <m/>
    <m/>
    <m/>
    <m/>
    <m/>
  </r>
  <r>
    <x v="1"/>
    <x v="23"/>
    <m/>
    <m/>
    <m/>
    <m/>
    <m/>
    <m/>
    <m/>
    <m/>
    <m/>
    <m/>
    <m/>
    <m/>
    <m/>
    <m/>
    <m/>
    <m/>
    <m/>
  </r>
  <r>
    <x v="1"/>
    <x v="24"/>
    <m/>
    <m/>
    <m/>
    <m/>
    <m/>
    <m/>
    <m/>
    <m/>
    <m/>
    <m/>
    <m/>
    <m/>
    <m/>
    <m/>
    <m/>
    <m/>
    <m/>
  </r>
  <r>
    <x v="1"/>
    <x v="25"/>
    <m/>
    <m/>
    <m/>
    <m/>
    <m/>
    <m/>
    <m/>
    <m/>
    <m/>
    <m/>
    <m/>
    <m/>
    <m/>
    <m/>
    <m/>
    <m/>
    <m/>
  </r>
  <r>
    <x v="1"/>
    <x v="26"/>
    <m/>
    <m/>
    <m/>
    <m/>
    <m/>
    <m/>
    <m/>
    <m/>
    <m/>
    <m/>
    <m/>
    <m/>
    <m/>
    <m/>
    <m/>
    <m/>
    <m/>
  </r>
  <r>
    <x v="1"/>
    <x v="27"/>
    <m/>
    <m/>
    <m/>
    <m/>
    <m/>
    <m/>
    <m/>
    <m/>
    <m/>
    <m/>
    <m/>
    <m/>
    <m/>
    <m/>
    <m/>
    <m/>
    <m/>
  </r>
  <r>
    <x v="1"/>
    <x v="28"/>
    <m/>
    <m/>
    <m/>
    <m/>
    <m/>
    <m/>
    <m/>
    <m/>
    <m/>
    <m/>
    <m/>
    <m/>
    <m/>
    <m/>
    <m/>
    <m/>
    <m/>
  </r>
  <r>
    <x v="1"/>
    <x v="29"/>
    <m/>
    <m/>
    <m/>
    <m/>
    <m/>
    <m/>
    <m/>
    <m/>
    <m/>
    <m/>
    <m/>
    <m/>
    <m/>
    <m/>
    <m/>
    <m/>
    <m/>
  </r>
  <r>
    <x v="1"/>
    <x v="30"/>
    <m/>
    <m/>
    <m/>
    <m/>
    <m/>
    <m/>
    <m/>
    <m/>
    <m/>
    <m/>
    <m/>
    <m/>
    <m/>
    <m/>
    <m/>
    <m/>
    <m/>
  </r>
  <r>
    <x v="1"/>
    <x v="31"/>
    <m/>
    <m/>
    <m/>
    <m/>
    <m/>
    <m/>
    <m/>
    <m/>
    <m/>
    <m/>
    <m/>
    <m/>
    <m/>
    <m/>
    <m/>
    <m/>
    <m/>
  </r>
  <r>
    <x v="1"/>
    <x v="32"/>
    <m/>
    <m/>
    <m/>
    <m/>
    <m/>
    <m/>
    <m/>
    <m/>
    <m/>
    <m/>
    <m/>
    <m/>
    <m/>
    <m/>
    <m/>
    <m/>
    <m/>
  </r>
  <r>
    <x v="1"/>
    <x v="33"/>
    <m/>
    <m/>
    <m/>
    <m/>
    <m/>
    <m/>
    <m/>
    <m/>
    <m/>
    <m/>
    <m/>
    <m/>
    <m/>
    <m/>
    <m/>
    <m/>
    <m/>
  </r>
  <r>
    <x v="1"/>
    <x v="34"/>
    <m/>
    <m/>
    <m/>
    <m/>
    <m/>
    <m/>
    <m/>
    <m/>
    <m/>
    <m/>
    <m/>
    <m/>
    <m/>
    <m/>
    <m/>
    <m/>
    <m/>
  </r>
  <r>
    <x v="1"/>
    <x v="35"/>
    <m/>
    <m/>
    <m/>
    <m/>
    <m/>
    <m/>
    <m/>
    <m/>
    <m/>
    <m/>
    <m/>
    <m/>
    <m/>
    <m/>
    <m/>
    <m/>
    <m/>
  </r>
  <r>
    <x v="1"/>
    <x v="36"/>
    <m/>
    <m/>
    <m/>
    <m/>
    <m/>
    <m/>
    <m/>
    <m/>
    <m/>
    <m/>
    <m/>
    <m/>
    <m/>
    <m/>
    <m/>
    <m/>
    <m/>
  </r>
  <r>
    <x v="1"/>
    <x v="37"/>
    <m/>
    <m/>
    <m/>
    <m/>
    <m/>
    <m/>
    <m/>
    <m/>
    <m/>
    <m/>
    <m/>
    <m/>
    <m/>
    <m/>
    <m/>
    <m/>
    <m/>
  </r>
  <r>
    <x v="1"/>
    <x v="38"/>
    <m/>
    <m/>
    <m/>
    <m/>
    <m/>
    <m/>
    <m/>
    <m/>
    <m/>
    <m/>
    <m/>
    <m/>
    <m/>
    <m/>
    <m/>
    <m/>
    <m/>
  </r>
  <r>
    <x v="1"/>
    <x v="39"/>
    <m/>
    <m/>
    <m/>
    <m/>
    <m/>
    <m/>
    <m/>
    <m/>
    <m/>
    <m/>
    <m/>
    <m/>
    <m/>
    <m/>
    <m/>
    <m/>
    <m/>
  </r>
  <r>
    <x v="1"/>
    <x v="40"/>
    <m/>
    <m/>
    <m/>
    <m/>
    <m/>
    <m/>
    <m/>
    <m/>
    <m/>
    <m/>
    <m/>
    <m/>
    <m/>
    <m/>
    <m/>
    <m/>
    <m/>
  </r>
  <r>
    <x v="1"/>
    <x v="41"/>
    <m/>
    <m/>
    <m/>
    <m/>
    <m/>
    <m/>
    <m/>
    <m/>
    <m/>
    <m/>
    <m/>
    <m/>
    <m/>
    <m/>
    <m/>
    <m/>
    <m/>
  </r>
  <r>
    <x v="1"/>
    <x v="42"/>
    <m/>
    <m/>
    <m/>
    <m/>
    <m/>
    <m/>
    <m/>
    <m/>
    <m/>
    <m/>
    <m/>
    <m/>
    <m/>
    <m/>
    <m/>
    <m/>
    <m/>
  </r>
  <r>
    <x v="1"/>
    <x v="43"/>
    <m/>
    <m/>
    <m/>
    <m/>
    <m/>
    <m/>
    <m/>
    <m/>
    <m/>
    <m/>
    <m/>
    <m/>
    <m/>
    <m/>
    <m/>
    <m/>
    <m/>
  </r>
  <r>
    <x v="1"/>
    <x v="44"/>
    <m/>
    <m/>
    <m/>
    <m/>
    <m/>
    <m/>
    <m/>
    <m/>
    <m/>
    <m/>
    <m/>
    <m/>
    <m/>
    <m/>
    <m/>
    <m/>
    <m/>
  </r>
  <r>
    <x v="1"/>
    <x v="45"/>
    <m/>
    <m/>
    <m/>
    <m/>
    <m/>
    <m/>
    <m/>
    <m/>
    <m/>
    <m/>
    <m/>
    <m/>
    <m/>
    <m/>
    <m/>
    <m/>
    <m/>
  </r>
  <r>
    <x v="1"/>
    <x v="46"/>
    <m/>
    <m/>
    <m/>
    <m/>
    <m/>
    <m/>
    <m/>
    <m/>
    <m/>
    <m/>
    <m/>
    <m/>
    <m/>
    <m/>
    <m/>
    <m/>
    <m/>
  </r>
  <r>
    <x v="1"/>
    <x v="47"/>
    <m/>
    <m/>
    <m/>
    <m/>
    <m/>
    <m/>
    <m/>
    <m/>
    <m/>
    <m/>
    <m/>
    <m/>
    <m/>
    <m/>
    <m/>
    <m/>
    <m/>
  </r>
  <r>
    <x v="1"/>
    <x v="48"/>
    <m/>
    <m/>
    <m/>
    <m/>
    <m/>
    <m/>
    <m/>
    <m/>
    <m/>
    <m/>
    <m/>
    <m/>
    <m/>
    <m/>
    <m/>
    <m/>
    <m/>
  </r>
  <r>
    <x v="1"/>
    <x v="49"/>
    <m/>
    <m/>
    <m/>
    <m/>
    <m/>
    <m/>
    <m/>
    <m/>
    <m/>
    <m/>
    <m/>
    <m/>
    <m/>
    <m/>
    <m/>
    <m/>
    <m/>
  </r>
  <r>
    <x v="1"/>
    <x v="50"/>
    <m/>
    <m/>
    <m/>
    <m/>
    <m/>
    <m/>
    <m/>
    <m/>
    <m/>
    <m/>
    <m/>
    <m/>
    <m/>
    <m/>
    <m/>
    <m/>
    <m/>
  </r>
  <r>
    <x v="1"/>
    <x v="51"/>
    <m/>
    <m/>
    <m/>
    <m/>
    <m/>
    <m/>
    <m/>
    <m/>
    <m/>
    <m/>
    <m/>
    <m/>
    <m/>
    <m/>
    <m/>
    <m/>
    <m/>
  </r>
  <r>
    <x v="2"/>
    <x v="0"/>
    <m/>
    <m/>
    <m/>
    <m/>
    <m/>
    <m/>
    <m/>
    <m/>
    <m/>
    <m/>
    <m/>
    <m/>
    <m/>
    <m/>
    <m/>
    <m/>
    <m/>
  </r>
  <r>
    <x v="2"/>
    <x v="1"/>
    <m/>
    <m/>
    <m/>
    <m/>
    <m/>
    <m/>
    <m/>
    <m/>
    <m/>
    <m/>
    <m/>
    <m/>
    <m/>
    <m/>
    <m/>
    <m/>
    <m/>
  </r>
  <r>
    <x v="2"/>
    <x v="2"/>
    <m/>
    <m/>
    <m/>
    <m/>
    <m/>
    <m/>
    <m/>
    <m/>
    <m/>
    <m/>
    <m/>
    <m/>
    <m/>
    <m/>
    <m/>
    <m/>
    <m/>
  </r>
  <r>
    <x v="2"/>
    <x v="3"/>
    <m/>
    <m/>
    <m/>
    <m/>
    <m/>
    <m/>
    <m/>
    <m/>
    <m/>
    <m/>
    <m/>
    <m/>
    <m/>
    <m/>
    <m/>
    <m/>
    <m/>
  </r>
  <r>
    <x v="2"/>
    <x v="4"/>
    <m/>
    <m/>
    <m/>
    <m/>
    <m/>
    <m/>
    <m/>
    <m/>
    <m/>
    <m/>
    <m/>
    <m/>
    <m/>
    <m/>
    <m/>
    <m/>
    <m/>
  </r>
  <r>
    <x v="2"/>
    <x v="5"/>
    <m/>
    <m/>
    <m/>
    <m/>
    <m/>
    <m/>
    <m/>
    <m/>
    <m/>
    <m/>
    <m/>
    <m/>
    <m/>
    <m/>
    <m/>
    <m/>
    <m/>
  </r>
  <r>
    <x v="2"/>
    <x v="6"/>
    <m/>
    <m/>
    <m/>
    <m/>
    <m/>
    <m/>
    <m/>
    <m/>
    <m/>
    <m/>
    <m/>
    <m/>
    <m/>
    <m/>
    <m/>
    <m/>
    <m/>
  </r>
  <r>
    <x v="2"/>
    <x v="7"/>
    <m/>
    <m/>
    <m/>
    <m/>
    <m/>
    <m/>
    <m/>
    <m/>
    <m/>
    <m/>
    <m/>
    <m/>
    <m/>
    <m/>
    <m/>
    <m/>
    <m/>
  </r>
  <r>
    <x v="2"/>
    <x v="8"/>
    <m/>
    <m/>
    <m/>
    <m/>
    <m/>
    <m/>
    <m/>
    <m/>
    <m/>
    <m/>
    <m/>
    <m/>
    <m/>
    <m/>
    <m/>
    <m/>
    <m/>
  </r>
  <r>
    <x v="2"/>
    <x v="9"/>
    <m/>
    <m/>
    <m/>
    <m/>
    <m/>
    <m/>
    <m/>
    <m/>
    <m/>
    <m/>
    <m/>
    <m/>
    <m/>
    <m/>
    <m/>
    <m/>
    <m/>
  </r>
  <r>
    <x v="2"/>
    <x v="10"/>
    <m/>
    <m/>
    <m/>
    <m/>
    <m/>
    <m/>
    <m/>
    <m/>
    <m/>
    <m/>
    <m/>
    <m/>
    <m/>
    <m/>
    <m/>
    <m/>
    <m/>
  </r>
  <r>
    <x v="2"/>
    <x v="11"/>
    <m/>
    <m/>
    <m/>
    <m/>
    <m/>
    <m/>
    <m/>
    <m/>
    <m/>
    <m/>
    <m/>
    <m/>
    <m/>
    <m/>
    <m/>
    <m/>
    <m/>
  </r>
  <r>
    <x v="2"/>
    <x v="12"/>
    <m/>
    <m/>
    <m/>
    <m/>
    <m/>
    <m/>
    <m/>
    <m/>
    <m/>
    <m/>
    <m/>
    <m/>
    <m/>
    <m/>
    <m/>
    <m/>
    <m/>
  </r>
  <r>
    <x v="2"/>
    <x v="13"/>
    <m/>
    <m/>
    <m/>
    <m/>
    <m/>
    <m/>
    <m/>
    <m/>
    <m/>
    <m/>
    <m/>
    <m/>
    <m/>
    <m/>
    <m/>
    <m/>
    <m/>
  </r>
  <r>
    <x v="2"/>
    <x v="14"/>
    <m/>
    <m/>
    <m/>
    <m/>
    <m/>
    <m/>
    <m/>
    <m/>
    <m/>
    <m/>
    <m/>
    <m/>
    <m/>
    <m/>
    <m/>
    <m/>
    <m/>
  </r>
  <r>
    <x v="2"/>
    <x v="15"/>
    <m/>
    <m/>
    <m/>
    <m/>
    <m/>
    <m/>
    <m/>
    <m/>
    <m/>
    <m/>
    <m/>
    <m/>
    <m/>
    <m/>
    <m/>
    <m/>
    <m/>
  </r>
  <r>
    <x v="2"/>
    <x v="16"/>
    <m/>
    <m/>
    <m/>
    <m/>
    <m/>
    <m/>
    <m/>
    <m/>
    <m/>
    <m/>
    <m/>
    <m/>
    <m/>
    <m/>
    <m/>
    <m/>
    <m/>
  </r>
  <r>
    <x v="2"/>
    <x v="17"/>
    <m/>
    <m/>
    <m/>
    <m/>
    <m/>
    <m/>
    <m/>
    <m/>
    <m/>
    <m/>
    <m/>
    <m/>
    <m/>
    <m/>
    <m/>
    <m/>
    <m/>
  </r>
  <r>
    <x v="2"/>
    <x v="18"/>
    <m/>
    <m/>
    <m/>
    <m/>
    <m/>
    <m/>
    <m/>
    <m/>
    <m/>
    <m/>
    <m/>
    <m/>
    <m/>
    <m/>
    <m/>
    <m/>
    <m/>
  </r>
  <r>
    <x v="2"/>
    <x v="19"/>
    <m/>
    <m/>
    <m/>
    <m/>
    <m/>
    <m/>
    <m/>
    <m/>
    <m/>
    <m/>
    <m/>
    <m/>
    <m/>
    <m/>
    <m/>
    <m/>
    <m/>
  </r>
  <r>
    <x v="2"/>
    <x v="20"/>
    <m/>
    <m/>
    <m/>
    <m/>
    <m/>
    <m/>
    <n v="2"/>
    <m/>
    <m/>
    <m/>
    <n v="2"/>
    <n v="2"/>
    <n v="2"/>
    <n v="1"/>
    <n v="2"/>
    <n v="2"/>
    <m/>
  </r>
  <r>
    <x v="2"/>
    <x v="21"/>
    <m/>
    <m/>
    <m/>
    <m/>
    <m/>
    <m/>
    <m/>
    <m/>
    <m/>
    <m/>
    <m/>
    <m/>
    <m/>
    <m/>
    <m/>
    <m/>
    <m/>
  </r>
  <r>
    <x v="2"/>
    <x v="22"/>
    <m/>
    <m/>
    <m/>
    <m/>
    <m/>
    <m/>
    <m/>
    <m/>
    <m/>
    <m/>
    <m/>
    <m/>
    <m/>
    <m/>
    <m/>
    <m/>
    <m/>
  </r>
  <r>
    <x v="2"/>
    <x v="23"/>
    <m/>
    <m/>
    <m/>
    <m/>
    <m/>
    <m/>
    <m/>
    <m/>
    <m/>
    <m/>
    <m/>
    <m/>
    <m/>
    <m/>
    <m/>
    <m/>
    <m/>
  </r>
  <r>
    <x v="2"/>
    <x v="24"/>
    <m/>
    <m/>
    <m/>
    <m/>
    <m/>
    <m/>
    <m/>
    <m/>
    <m/>
    <m/>
    <m/>
    <m/>
    <m/>
    <m/>
    <m/>
    <m/>
    <m/>
  </r>
  <r>
    <x v="2"/>
    <x v="25"/>
    <m/>
    <m/>
    <m/>
    <m/>
    <m/>
    <m/>
    <m/>
    <m/>
    <m/>
    <m/>
    <m/>
    <m/>
    <m/>
    <m/>
    <m/>
    <m/>
    <m/>
  </r>
  <r>
    <x v="2"/>
    <x v="26"/>
    <m/>
    <m/>
    <m/>
    <m/>
    <m/>
    <m/>
    <m/>
    <m/>
    <m/>
    <m/>
    <m/>
    <m/>
    <m/>
    <m/>
    <m/>
    <m/>
    <m/>
  </r>
  <r>
    <x v="2"/>
    <x v="27"/>
    <m/>
    <m/>
    <m/>
    <m/>
    <m/>
    <m/>
    <m/>
    <m/>
    <m/>
    <m/>
    <m/>
    <m/>
    <m/>
    <m/>
    <m/>
    <m/>
    <m/>
  </r>
  <r>
    <x v="2"/>
    <x v="28"/>
    <m/>
    <m/>
    <m/>
    <m/>
    <m/>
    <m/>
    <m/>
    <m/>
    <m/>
    <m/>
    <m/>
    <m/>
    <m/>
    <m/>
    <m/>
    <m/>
    <m/>
  </r>
  <r>
    <x v="2"/>
    <x v="29"/>
    <m/>
    <m/>
    <m/>
    <m/>
    <m/>
    <m/>
    <m/>
    <m/>
    <m/>
    <m/>
    <m/>
    <m/>
    <m/>
    <m/>
    <m/>
    <m/>
    <m/>
  </r>
  <r>
    <x v="2"/>
    <x v="30"/>
    <m/>
    <m/>
    <m/>
    <m/>
    <m/>
    <m/>
    <m/>
    <m/>
    <m/>
    <m/>
    <m/>
    <m/>
    <m/>
    <m/>
    <m/>
    <m/>
    <m/>
  </r>
  <r>
    <x v="2"/>
    <x v="31"/>
    <m/>
    <m/>
    <m/>
    <m/>
    <m/>
    <m/>
    <n v="2"/>
    <m/>
    <m/>
    <m/>
    <n v="3"/>
    <n v="2"/>
    <n v="3"/>
    <n v="3"/>
    <n v="3"/>
    <n v="5"/>
    <m/>
  </r>
  <r>
    <x v="2"/>
    <x v="32"/>
    <m/>
    <m/>
    <m/>
    <m/>
    <m/>
    <m/>
    <m/>
    <m/>
    <m/>
    <m/>
    <m/>
    <m/>
    <m/>
    <m/>
    <m/>
    <m/>
    <m/>
  </r>
  <r>
    <x v="2"/>
    <x v="33"/>
    <m/>
    <m/>
    <m/>
    <m/>
    <m/>
    <m/>
    <m/>
    <m/>
    <m/>
    <m/>
    <m/>
    <m/>
    <m/>
    <m/>
    <m/>
    <m/>
    <m/>
  </r>
  <r>
    <x v="2"/>
    <x v="34"/>
    <m/>
    <m/>
    <m/>
    <m/>
    <m/>
    <m/>
    <n v="1"/>
    <m/>
    <m/>
    <m/>
    <m/>
    <n v="1"/>
    <m/>
    <n v="1"/>
    <n v="1"/>
    <m/>
    <m/>
  </r>
  <r>
    <x v="2"/>
    <x v="35"/>
    <m/>
    <m/>
    <m/>
    <m/>
    <m/>
    <m/>
    <m/>
    <m/>
    <m/>
    <m/>
    <m/>
    <m/>
    <m/>
    <m/>
    <m/>
    <m/>
    <m/>
  </r>
  <r>
    <x v="2"/>
    <x v="36"/>
    <m/>
    <m/>
    <m/>
    <m/>
    <m/>
    <m/>
    <m/>
    <m/>
    <m/>
    <m/>
    <m/>
    <m/>
    <m/>
    <m/>
    <m/>
    <m/>
    <m/>
  </r>
  <r>
    <x v="2"/>
    <x v="37"/>
    <m/>
    <m/>
    <m/>
    <m/>
    <m/>
    <m/>
    <m/>
    <m/>
    <m/>
    <m/>
    <m/>
    <m/>
    <m/>
    <m/>
    <m/>
    <m/>
    <m/>
  </r>
  <r>
    <x v="2"/>
    <x v="38"/>
    <m/>
    <m/>
    <m/>
    <m/>
    <m/>
    <m/>
    <m/>
    <m/>
    <m/>
    <m/>
    <m/>
    <m/>
    <m/>
    <m/>
    <m/>
    <m/>
    <m/>
  </r>
  <r>
    <x v="2"/>
    <x v="39"/>
    <m/>
    <m/>
    <m/>
    <m/>
    <m/>
    <m/>
    <m/>
    <m/>
    <m/>
    <m/>
    <m/>
    <m/>
    <m/>
    <m/>
    <m/>
    <m/>
    <m/>
  </r>
  <r>
    <x v="2"/>
    <x v="40"/>
    <m/>
    <m/>
    <m/>
    <m/>
    <m/>
    <m/>
    <m/>
    <m/>
    <m/>
    <m/>
    <m/>
    <m/>
    <m/>
    <m/>
    <m/>
    <m/>
    <m/>
  </r>
  <r>
    <x v="2"/>
    <x v="41"/>
    <m/>
    <m/>
    <m/>
    <m/>
    <m/>
    <m/>
    <m/>
    <m/>
    <m/>
    <m/>
    <m/>
    <m/>
    <m/>
    <m/>
    <m/>
    <m/>
    <m/>
  </r>
  <r>
    <x v="2"/>
    <x v="42"/>
    <m/>
    <m/>
    <m/>
    <m/>
    <m/>
    <m/>
    <n v="3"/>
    <n v="10"/>
    <m/>
    <m/>
    <n v="10"/>
    <n v="5"/>
    <n v="5"/>
    <n v="5"/>
    <n v="2"/>
    <n v="10"/>
    <m/>
  </r>
  <r>
    <x v="2"/>
    <x v="43"/>
    <m/>
    <m/>
    <m/>
    <m/>
    <m/>
    <m/>
    <m/>
    <m/>
    <m/>
    <m/>
    <m/>
    <m/>
    <m/>
    <m/>
    <m/>
    <m/>
    <m/>
  </r>
  <r>
    <x v="2"/>
    <x v="44"/>
    <m/>
    <m/>
    <m/>
    <m/>
    <m/>
    <m/>
    <m/>
    <m/>
    <m/>
    <m/>
    <m/>
    <m/>
    <m/>
    <m/>
    <m/>
    <m/>
    <m/>
  </r>
  <r>
    <x v="2"/>
    <x v="45"/>
    <m/>
    <m/>
    <m/>
    <m/>
    <m/>
    <m/>
    <m/>
    <m/>
    <m/>
    <m/>
    <m/>
    <m/>
    <m/>
    <m/>
    <m/>
    <m/>
    <m/>
  </r>
  <r>
    <x v="2"/>
    <x v="46"/>
    <m/>
    <m/>
    <m/>
    <m/>
    <m/>
    <m/>
    <m/>
    <m/>
    <m/>
    <m/>
    <m/>
    <m/>
    <m/>
    <m/>
    <m/>
    <m/>
    <m/>
  </r>
  <r>
    <x v="2"/>
    <x v="47"/>
    <m/>
    <m/>
    <m/>
    <m/>
    <m/>
    <m/>
    <m/>
    <m/>
    <m/>
    <m/>
    <m/>
    <m/>
    <m/>
    <m/>
    <m/>
    <m/>
    <m/>
  </r>
  <r>
    <x v="2"/>
    <x v="48"/>
    <m/>
    <m/>
    <m/>
    <m/>
    <m/>
    <m/>
    <m/>
    <m/>
    <m/>
    <m/>
    <m/>
    <m/>
    <m/>
    <m/>
    <m/>
    <m/>
    <m/>
  </r>
  <r>
    <x v="2"/>
    <x v="49"/>
    <m/>
    <m/>
    <m/>
    <m/>
    <m/>
    <m/>
    <m/>
    <m/>
    <m/>
    <m/>
    <m/>
    <m/>
    <m/>
    <m/>
    <m/>
    <m/>
    <m/>
  </r>
  <r>
    <x v="2"/>
    <x v="50"/>
    <m/>
    <m/>
    <m/>
    <m/>
    <m/>
    <m/>
    <n v="6"/>
    <m/>
    <m/>
    <m/>
    <n v="2"/>
    <n v="2"/>
    <n v="2"/>
    <n v="2"/>
    <n v="2"/>
    <n v="2"/>
    <m/>
  </r>
  <r>
    <x v="2"/>
    <x v="51"/>
    <m/>
    <m/>
    <m/>
    <m/>
    <m/>
    <m/>
    <m/>
    <m/>
    <m/>
    <m/>
    <m/>
    <m/>
    <m/>
    <m/>
    <m/>
    <m/>
    <m/>
  </r>
  <r>
    <x v="3"/>
    <x v="0"/>
    <m/>
    <m/>
    <m/>
    <m/>
    <m/>
    <m/>
    <m/>
    <m/>
    <m/>
    <m/>
    <m/>
    <m/>
    <m/>
    <m/>
    <m/>
    <m/>
    <m/>
  </r>
  <r>
    <x v="3"/>
    <x v="1"/>
    <m/>
    <m/>
    <m/>
    <m/>
    <m/>
    <m/>
    <m/>
    <m/>
    <m/>
    <m/>
    <m/>
    <m/>
    <m/>
    <m/>
    <m/>
    <m/>
    <m/>
  </r>
  <r>
    <x v="3"/>
    <x v="2"/>
    <m/>
    <m/>
    <m/>
    <m/>
    <m/>
    <m/>
    <m/>
    <m/>
    <m/>
    <m/>
    <m/>
    <m/>
    <m/>
    <m/>
    <m/>
    <m/>
    <m/>
  </r>
  <r>
    <x v="3"/>
    <x v="3"/>
    <m/>
    <m/>
    <m/>
    <m/>
    <m/>
    <m/>
    <m/>
    <m/>
    <m/>
    <m/>
    <m/>
    <m/>
    <m/>
    <m/>
    <m/>
    <m/>
    <m/>
  </r>
  <r>
    <x v="3"/>
    <x v="4"/>
    <m/>
    <m/>
    <m/>
    <m/>
    <m/>
    <m/>
    <m/>
    <m/>
    <m/>
    <m/>
    <m/>
    <m/>
    <m/>
    <m/>
    <m/>
    <m/>
    <m/>
  </r>
  <r>
    <x v="3"/>
    <x v="5"/>
    <m/>
    <m/>
    <m/>
    <m/>
    <m/>
    <m/>
    <m/>
    <m/>
    <m/>
    <m/>
    <m/>
    <m/>
    <m/>
    <m/>
    <m/>
    <m/>
    <m/>
  </r>
  <r>
    <x v="3"/>
    <x v="6"/>
    <m/>
    <m/>
    <m/>
    <m/>
    <m/>
    <m/>
    <m/>
    <m/>
    <m/>
    <m/>
    <m/>
    <m/>
    <m/>
    <m/>
    <m/>
    <m/>
    <m/>
  </r>
  <r>
    <x v="3"/>
    <x v="7"/>
    <m/>
    <m/>
    <m/>
    <m/>
    <m/>
    <m/>
    <m/>
    <m/>
    <m/>
    <m/>
    <m/>
    <m/>
    <m/>
    <m/>
    <m/>
    <m/>
    <m/>
  </r>
  <r>
    <x v="3"/>
    <x v="8"/>
    <m/>
    <m/>
    <m/>
    <m/>
    <m/>
    <m/>
    <m/>
    <m/>
    <m/>
    <m/>
    <m/>
    <m/>
    <m/>
    <m/>
    <m/>
    <m/>
    <m/>
  </r>
  <r>
    <x v="3"/>
    <x v="9"/>
    <m/>
    <m/>
    <m/>
    <m/>
    <m/>
    <m/>
    <m/>
    <m/>
    <m/>
    <m/>
    <m/>
    <m/>
    <m/>
    <m/>
    <m/>
    <m/>
    <m/>
  </r>
  <r>
    <x v="3"/>
    <x v="10"/>
    <m/>
    <m/>
    <m/>
    <m/>
    <m/>
    <m/>
    <m/>
    <m/>
    <m/>
    <m/>
    <m/>
    <m/>
    <m/>
    <m/>
    <m/>
    <m/>
    <m/>
  </r>
  <r>
    <x v="3"/>
    <x v="11"/>
    <m/>
    <m/>
    <m/>
    <m/>
    <m/>
    <m/>
    <m/>
    <m/>
    <m/>
    <m/>
    <m/>
    <m/>
    <m/>
    <m/>
    <m/>
    <m/>
    <m/>
  </r>
  <r>
    <x v="3"/>
    <x v="12"/>
    <m/>
    <m/>
    <m/>
    <m/>
    <m/>
    <m/>
    <m/>
    <m/>
    <m/>
    <m/>
    <m/>
    <m/>
    <m/>
    <m/>
    <m/>
    <m/>
    <m/>
  </r>
  <r>
    <x v="3"/>
    <x v="13"/>
    <m/>
    <m/>
    <m/>
    <m/>
    <m/>
    <m/>
    <m/>
    <m/>
    <m/>
    <m/>
    <m/>
    <m/>
    <m/>
    <m/>
    <m/>
    <m/>
    <m/>
  </r>
  <r>
    <x v="3"/>
    <x v="14"/>
    <m/>
    <m/>
    <m/>
    <m/>
    <m/>
    <m/>
    <m/>
    <m/>
    <m/>
    <m/>
    <m/>
    <m/>
    <m/>
    <m/>
    <m/>
    <m/>
    <m/>
  </r>
  <r>
    <x v="3"/>
    <x v="15"/>
    <m/>
    <m/>
    <m/>
    <m/>
    <m/>
    <m/>
    <m/>
    <m/>
    <m/>
    <m/>
    <m/>
    <m/>
    <m/>
    <m/>
    <m/>
    <m/>
    <m/>
  </r>
  <r>
    <x v="3"/>
    <x v="16"/>
    <m/>
    <m/>
    <m/>
    <m/>
    <m/>
    <m/>
    <m/>
    <m/>
    <m/>
    <m/>
    <m/>
    <m/>
    <m/>
    <m/>
    <m/>
    <m/>
    <m/>
  </r>
  <r>
    <x v="3"/>
    <x v="17"/>
    <m/>
    <m/>
    <m/>
    <m/>
    <m/>
    <m/>
    <m/>
    <m/>
    <m/>
    <m/>
    <m/>
    <m/>
    <m/>
    <m/>
    <m/>
    <m/>
    <m/>
  </r>
  <r>
    <x v="3"/>
    <x v="18"/>
    <m/>
    <m/>
    <m/>
    <m/>
    <m/>
    <m/>
    <m/>
    <m/>
    <m/>
    <m/>
    <m/>
    <m/>
    <m/>
    <m/>
    <m/>
    <m/>
    <m/>
  </r>
  <r>
    <x v="3"/>
    <x v="19"/>
    <m/>
    <m/>
    <m/>
    <m/>
    <m/>
    <m/>
    <m/>
    <m/>
    <m/>
    <m/>
    <m/>
    <m/>
    <m/>
    <m/>
    <m/>
    <m/>
    <m/>
  </r>
  <r>
    <x v="3"/>
    <x v="20"/>
    <m/>
    <m/>
    <m/>
    <m/>
    <m/>
    <m/>
    <m/>
    <m/>
    <n v="1"/>
    <m/>
    <n v="1"/>
    <m/>
    <n v="1"/>
    <n v="1"/>
    <n v="1"/>
    <n v="1"/>
    <m/>
  </r>
  <r>
    <x v="3"/>
    <x v="21"/>
    <m/>
    <m/>
    <m/>
    <m/>
    <m/>
    <m/>
    <m/>
    <m/>
    <m/>
    <m/>
    <m/>
    <m/>
    <m/>
    <m/>
    <m/>
    <m/>
    <m/>
  </r>
  <r>
    <x v="3"/>
    <x v="22"/>
    <m/>
    <m/>
    <m/>
    <m/>
    <m/>
    <m/>
    <m/>
    <m/>
    <m/>
    <m/>
    <m/>
    <m/>
    <m/>
    <m/>
    <m/>
    <m/>
    <m/>
  </r>
  <r>
    <x v="3"/>
    <x v="23"/>
    <m/>
    <m/>
    <m/>
    <m/>
    <m/>
    <m/>
    <m/>
    <m/>
    <m/>
    <m/>
    <m/>
    <m/>
    <m/>
    <m/>
    <m/>
    <m/>
    <m/>
  </r>
  <r>
    <x v="3"/>
    <x v="24"/>
    <m/>
    <m/>
    <m/>
    <m/>
    <m/>
    <m/>
    <m/>
    <m/>
    <m/>
    <m/>
    <m/>
    <m/>
    <m/>
    <m/>
    <m/>
    <m/>
    <m/>
  </r>
  <r>
    <x v="3"/>
    <x v="25"/>
    <m/>
    <m/>
    <m/>
    <m/>
    <m/>
    <m/>
    <m/>
    <m/>
    <m/>
    <m/>
    <m/>
    <m/>
    <m/>
    <m/>
    <m/>
    <m/>
    <m/>
  </r>
  <r>
    <x v="3"/>
    <x v="26"/>
    <m/>
    <m/>
    <m/>
    <m/>
    <m/>
    <m/>
    <m/>
    <m/>
    <m/>
    <m/>
    <m/>
    <m/>
    <m/>
    <m/>
    <m/>
    <m/>
    <m/>
  </r>
  <r>
    <x v="3"/>
    <x v="27"/>
    <m/>
    <m/>
    <m/>
    <m/>
    <m/>
    <m/>
    <m/>
    <m/>
    <m/>
    <m/>
    <m/>
    <m/>
    <m/>
    <m/>
    <m/>
    <m/>
    <m/>
  </r>
  <r>
    <x v="3"/>
    <x v="28"/>
    <m/>
    <m/>
    <m/>
    <m/>
    <m/>
    <m/>
    <m/>
    <m/>
    <m/>
    <m/>
    <m/>
    <m/>
    <m/>
    <m/>
    <m/>
    <m/>
    <m/>
  </r>
  <r>
    <x v="3"/>
    <x v="29"/>
    <m/>
    <m/>
    <m/>
    <m/>
    <m/>
    <m/>
    <m/>
    <m/>
    <m/>
    <m/>
    <m/>
    <m/>
    <m/>
    <m/>
    <m/>
    <m/>
    <m/>
  </r>
  <r>
    <x v="3"/>
    <x v="30"/>
    <m/>
    <m/>
    <m/>
    <m/>
    <m/>
    <m/>
    <m/>
    <m/>
    <m/>
    <m/>
    <m/>
    <m/>
    <m/>
    <m/>
    <m/>
    <m/>
    <m/>
  </r>
  <r>
    <x v="3"/>
    <x v="31"/>
    <m/>
    <m/>
    <m/>
    <m/>
    <m/>
    <m/>
    <m/>
    <m/>
    <m/>
    <m/>
    <m/>
    <m/>
    <m/>
    <m/>
    <m/>
    <m/>
    <m/>
  </r>
  <r>
    <x v="3"/>
    <x v="32"/>
    <m/>
    <m/>
    <m/>
    <m/>
    <m/>
    <m/>
    <m/>
    <m/>
    <m/>
    <m/>
    <m/>
    <m/>
    <m/>
    <m/>
    <m/>
    <m/>
    <m/>
  </r>
  <r>
    <x v="3"/>
    <x v="33"/>
    <m/>
    <m/>
    <m/>
    <m/>
    <m/>
    <m/>
    <m/>
    <m/>
    <m/>
    <m/>
    <m/>
    <m/>
    <m/>
    <m/>
    <m/>
    <m/>
    <m/>
  </r>
  <r>
    <x v="3"/>
    <x v="34"/>
    <m/>
    <m/>
    <m/>
    <m/>
    <m/>
    <m/>
    <m/>
    <m/>
    <m/>
    <m/>
    <m/>
    <m/>
    <m/>
    <m/>
    <m/>
    <m/>
    <m/>
  </r>
  <r>
    <x v="3"/>
    <x v="35"/>
    <m/>
    <m/>
    <m/>
    <m/>
    <m/>
    <m/>
    <m/>
    <m/>
    <m/>
    <m/>
    <m/>
    <m/>
    <m/>
    <m/>
    <m/>
    <m/>
    <m/>
  </r>
  <r>
    <x v="3"/>
    <x v="36"/>
    <m/>
    <m/>
    <m/>
    <m/>
    <m/>
    <m/>
    <m/>
    <m/>
    <m/>
    <m/>
    <m/>
    <m/>
    <m/>
    <m/>
    <m/>
    <m/>
    <m/>
  </r>
  <r>
    <x v="3"/>
    <x v="37"/>
    <m/>
    <m/>
    <m/>
    <m/>
    <m/>
    <m/>
    <m/>
    <m/>
    <m/>
    <m/>
    <m/>
    <m/>
    <m/>
    <m/>
    <m/>
    <m/>
    <m/>
  </r>
  <r>
    <x v="3"/>
    <x v="38"/>
    <m/>
    <m/>
    <m/>
    <m/>
    <m/>
    <m/>
    <m/>
    <m/>
    <m/>
    <m/>
    <m/>
    <m/>
    <m/>
    <m/>
    <m/>
    <m/>
    <m/>
  </r>
  <r>
    <x v="3"/>
    <x v="39"/>
    <m/>
    <m/>
    <m/>
    <m/>
    <m/>
    <m/>
    <m/>
    <m/>
    <m/>
    <m/>
    <m/>
    <m/>
    <m/>
    <m/>
    <m/>
    <m/>
    <m/>
  </r>
  <r>
    <x v="3"/>
    <x v="40"/>
    <m/>
    <m/>
    <m/>
    <m/>
    <m/>
    <m/>
    <m/>
    <m/>
    <m/>
    <m/>
    <m/>
    <m/>
    <m/>
    <m/>
    <m/>
    <m/>
    <m/>
  </r>
  <r>
    <x v="3"/>
    <x v="41"/>
    <m/>
    <m/>
    <m/>
    <m/>
    <m/>
    <m/>
    <m/>
    <m/>
    <m/>
    <m/>
    <m/>
    <m/>
    <m/>
    <m/>
    <m/>
    <m/>
    <m/>
  </r>
  <r>
    <x v="3"/>
    <x v="42"/>
    <m/>
    <m/>
    <m/>
    <m/>
    <m/>
    <m/>
    <m/>
    <m/>
    <m/>
    <m/>
    <m/>
    <m/>
    <m/>
    <m/>
    <m/>
    <m/>
    <m/>
  </r>
  <r>
    <x v="3"/>
    <x v="43"/>
    <m/>
    <m/>
    <m/>
    <m/>
    <m/>
    <m/>
    <m/>
    <m/>
    <m/>
    <m/>
    <m/>
    <m/>
    <m/>
    <m/>
    <m/>
    <m/>
    <m/>
  </r>
  <r>
    <x v="3"/>
    <x v="44"/>
    <m/>
    <m/>
    <m/>
    <m/>
    <m/>
    <m/>
    <m/>
    <m/>
    <m/>
    <m/>
    <m/>
    <m/>
    <m/>
    <m/>
    <m/>
    <m/>
    <m/>
  </r>
  <r>
    <x v="3"/>
    <x v="45"/>
    <m/>
    <m/>
    <m/>
    <m/>
    <m/>
    <m/>
    <m/>
    <m/>
    <m/>
    <m/>
    <m/>
    <m/>
    <m/>
    <m/>
    <m/>
    <m/>
    <m/>
  </r>
  <r>
    <x v="3"/>
    <x v="46"/>
    <m/>
    <m/>
    <m/>
    <m/>
    <m/>
    <m/>
    <m/>
    <m/>
    <m/>
    <m/>
    <m/>
    <m/>
    <m/>
    <m/>
    <m/>
    <m/>
    <m/>
  </r>
  <r>
    <x v="3"/>
    <x v="47"/>
    <m/>
    <m/>
    <m/>
    <m/>
    <m/>
    <m/>
    <m/>
    <m/>
    <m/>
    <m/>
    <m/>
    <m/>
    <m/>
    <m/>
    <m/>
    <m/>
    <m/>
  </r>
  <r>
    <x v="3"/>
    <x v="48"/>
    <m/>
    <m/>
    <m/>
    <m/>
    <m/>
    <m/>
    <m/>
    <m/>
    <m/>
    <m/>
    <m/>
    <m/>
    <m/>
    <m/>
    <m/>
    <m/>
    <m/>
  </r>
  <r>
    <x v="3"/>
    <x v="49"/>
    <m/>
    <m/>
    <m/>
    <m/>
    <m/>
    <m/>
    <m/>
    <m/>
    <m/>
    <m/>
    <m/>
    <m/>
    <m/>
    <m/>
    <m/>
    <m/>
    <m/>
  </r>
  <r>
    <x v="3"/>
    <x v="50"/>
    <m/>
    <m/>
    <m/>
    <m/>
    <m/>
    <m/>
    <m/>
    <m/>
    <m/>
    <m/>
    <m/>
    <m/>
    <m/>
    <m/>
    <m/>
    <m/>
    <m/>
  </r>
  <r>
    <x v="3"/>
    <x v="51"/>
    <m/>
    <m/>
    <m/>
    <m/>
    <m/>
    <m/>
    <m/>
    <m/>
    <m/>
    <m/>
    <m/>
    <m/>
    <m/>
    <m/>
    <m/>
    <m/>
    <m/>
  </r>
  <r>
    <x v="4"/>
    <x v="0"/>
    <m/>
    <m/>
    <m/>
    <m/>
    <m/>
    <m/>
    <m/>
    <m/>
    <m/>
    <m/>
    <m/>
    <m/>
    <m/>
    <m/>
    <m/>
    <m/>
    <m/>
  </r>
  <r>
    <x v="4"/>
    <x v="1"/>
    <m/>
    <m/>
    <m/>
    <m/>
    <m/>
    <m/>
    <m/>
    <m/>
    <m/>
    <m/>
    <m/>
    <m/>
    <m/>
    <m/>
    <m/>
    <m/>
    <m/>
  </r>
  <r>
    <x v="4"/>
    <x v="2"/>
    <m/>
    <m/>
    <m/>
    <m/>
    <m/>
    <m/>
    <m/>
    <m/>
    <m/>
    <m/>
    <m/>
    <m/>
    <m/>
    <m/>
    <m/>
    <m/>
    <m/>
  </r>
  <r>
    <x v="4"/>
    <x v="3"/>
    <m/>
    <m/>
    <m/>
    <m/>
    <m/>
    <m/>
    <m/>
    <m/>
    <m/>
    <m/>
    <m/>
    <m/>
    <m/>
    <m/>
    <m/>
    <m/>
    <m/>
  </r>
  <r>
    <x v="4"/>
    <x v="4"/>
    <m/>
    <m/>
    <m/>
    <m/>
    <m/>
    <m/>
    <m/>
    <m/>
    <m/>
    <m/>
    <m/>
    <m/>
    <m/>
    <m/>
    <m/>
    <m/>
    <m/>
  </r>
  <r>
    <x v="4"/>
    <x v="5"/>
    <m/>
    <m/>
    <m/>
    <m/>
    <m/>
    <m/>
    <m/>
    <m/>
    <m/>
    <m/>
    <m/>
    <m/>
    <m/>
    <m/>
    <m/>
    <m/>
    <m/>
  </r>
  <r>
    <x v="4"/>
    <x v="6"/>
    <m/>
    <m/>
    <m/>
    <m/>
    <m/>
    <m/>
    <m/>
    <m/>
    <m/>
    <m/>
    <m/>
    <m/>
    <m/>
    <m/>
    <m/>
    <m/>
    <m/>
  </r>
  <r>
    <x v="4"/>
    <x v="7"/>
    <m/>
    <m/>
    <m/>
    <m/>
    <m/>
    <m/>
    <m/>
    <m/>
    <m/>
    <m/>
    <m/>
    <m/>
    <m/>
    <m/>
    <m/>
    <m/>
    <m/>
  </r>
  <r>
    <x v="4"/>
    <x v="8"/>
    <m/>
    <m/>
    <m/>
    <m/>
    <m/>
    <m/>
    <m/>
    <m/>
    <m/>
    <m/>
    <m/>
    <m/>
    <m/>
    <m/>
    <m/>
    <m/>
    <m/>
  </r>
  <r>
    <x v="4"/>
    <x v="9"/>
    <m/>
    <m/>
    <m/>
    <m/>
    <m/>
    <m/>
    <m/>
    <m/>
    <m/>
    <m/>
    <m/>
    <m/>
    <m/>
    <m/>
    <m/>
    <m/>
    <m/>
  </r>
  <r>
    <x v="4"/>
    <x v="10"/>
    <m/>
    <m/>
    <m/>
    <m/>
    <m/>
    <m/>
    <m/>
    <m/>
    <m/>
    <m/>
    <m/>
    <m/>
    <m/>
    <m/>
    <m/>
    <m/>
    <m/>
  </r>
  <r>
    <x v="4"/>
    <x v="11"/>
    <m/>
    <m/>
    <m/>
    <m/>
    <m/>
    <m/>
    <m/>
    <m/>
    <m/>
    <m/>
    <m/>
    <m/>
    <m/>
    <m/>
    <m/>
    <m/>
    <m/>
  </r>
  <r>
    <x v="4"/>
    <x v="12"/>
    <m/>
    <m/>
    <m/>
    <m/>
    <m/>
    <m/>
    <m/>
    <m/>
    <m/>
    <m/>
    <m/>
    <m/>
    <m/>
    <m/>
    <m/>
    <m/>
    <m/>
  </r>
  <r>
    <x v="4"/>
    <x v="13"/>
    <m/>
    <m/>
    <m/>
    <m/>
    <m/>
    <m/>
    <m/>
    <m/>
    <m/>
    <m/>
    <m/>
    <m/>
    <m/>
    <m/>
    <m/>
    <m/>
    <m/>
  </r>
  <r>
    <x v="4"/>
    <x v="14"/>
    <m/>
    <m/>
    <m/>
    <m/>
    <m/>
    <m/>
    <m/>
    <m/>
    <m/>
    <m/>
    <m/>
    <m/>
    <m/>
    <m/>
    <m/>
    <m/>
    <m/>
  </r>
  <r>
    <x v="4"/>
    <x v="15"/>
    <m/>
    <m/>
    <m/>
    <m/>
    <m/>
    <m/>
    <m/>
    <m/>
    <m/>
    <m/>
    <m/>
    <m/>
    <m/>
    <m/>
    <m/>
    <m/>
    <m/>
  </r>
  <r>
    <x v="4"/>
    <x v="16"/>
    <m/>
    <m/>
    <m/>
    <m/>
    <m/>
    <m/>
    <m/>
    <m/>
    <m/>
    <m/>
    <m/>
    <m/>
    <m/>
    <m/>
    <m/>
    <m/>
    <m/>
  </r>
  <r>
    <x v="4"/>
    <x v="17"/>
    <m/>
    <m/>
    <m/>
    <m/>
    <m/>
    <m/>
    <m/>
    <m/>
    <m/>
    <m/>
    <m/>
    <m/>
    <m/>
    <m/>
    <m/>
    <m/>
    <m/>
  </r>
  <r>
    <x v="4"/>
    <x v="18"/>
    <m/>
    <m/>
    <m/>
    <m/>
    <m/>
    <m/>
    <m/>
    <m/>
    <m/>
    <m/>
    <m/>
    <m/>
    <m/>
    <m/>
    <m/>
    <m/>
    <m/>
  </r>
  <r>
    <x v="4"/>
    <x v="19"/>
    <m/>
    <m/>
    <m/>
    <m/>
    <m/>
    <m/>
    <m/>
    <m/>
    <m/>
    <m/>
    <m/>
    <m/>
    <m/>
    <m/>
    <m/>
    <m/>
    <m/>
  </r>
  <r>
    <x v="4"/>
    <x v="20"/>
    <m/>
    <m/>
    <m/>
    <m/>
    <m/>
    <m/>
    <m/>
    <m/>
    <m/>
    <m/>
    <m/>
    <m/>
    <m/>
    <m/>
    <n v="1"/>
    <m/>
    <m/>
  </r>
  <r>
    <x v="4"/>
    <x v="21"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</r>
  <r>
    <x v="4"/>
    <x v="24"/>
    <m/>
    <m/>
    <m/>
    <m/>
    <m/>
    <m/>
    <m/>
    <m/>
    <m/>
    <m/>
    <m/>
    <m/>
    <m/>
    <m/>
    <m/>
    <m/>
    <m/>
  </r>
  <r>
    <x v="4"/>
    <x v="25"/>
    <m/>
    <m/>
    <m/>
    <m/>
    <m/>
    <m/>
    <m/>
    <m/>
    <m/>
    <m/>
    <m/>
    <m/>
    <m/>
    <m/>
    <m/>
    <m/>
    <m/>
  </r>
  <r>
    <x v="4"/>
    <x v="26"/>
    <m/>
    <m/>
    <m/>
    <m/>
    <m/>
    <m/>
    <m/>
    <m/>
    <m/>
    <m/>
    <m/>
    <m/>
    <m/>
    <m/>
    <m/>
    <m/>
    <m/>
  </r>
  <r>
    <x v="4"/>
    <x v="27"/>
    <m/>
    <m/>
    <m/>
    <m/>
    <m/>
    <m/>
    <m/>
    <m/>
    <m/>
    <m/>
    <m/>
    <m/>
    <m/>
    <m/>
    <m/>
    <m/>
    <m/>
  </r>
  <r>
    <x v="4"/>
    <x v="28"/>
    <m/>
    <m/>
    <m/>
    <m/>
    <m/>
    <m/>
    <m/>
    <m/>
    <m/>
    <m/>
    <m/>
    <m/>
    <m/>
    <m/>
    <m/>
    <m/>
    <m/>
  </r>
  <r>
    <x v="4"/>
    <x v="29"/>
    <m/>
    <m/>
    <m/>
    <m/>
    <m/>
    <m/>
    <m/>
    <m/>
    <m/>
    <m/>
    <m/>
    <m/>
    <m/>
    <m/>
    <m/>
    <m/>
    <m/>
  </r>
  <r>
    <x v="4"/>
    <x v="30"/>
    <m/>
    <m/>
    <m/>
    <m/>
    <m/>
    <m/>
    <m/>
    <m/>
    <m/>
    <m/>
    <m/>
    <m/>
    <m/>
    <m/>
    <m/>
    <m/>
    <m/>
  </r>
  <r>
    <x v="4"/>
    <x v="31"/>
    <m/>
    <m/>
    <m/>
    <m/>
    <m/>
    <m/>
    <m/>
    <m/>
    <m/>
    <m/>
    <m/>
    <m/>
    <m/>
    <m/>
    <m/>
    <m/>
    <m/>
  </r>
  <r>
    <x v="4"/>
    <x v="32"/>
    <m/>
    <m/>
    <m/>
    <m/>
    <m/>
    <m/>
    <m/>
    <m/>
    <m/>
    <m/>
    <m/>
    <m/>
    <m/>
    <m/>
    <m/>
    <m/>
    <m/>
  </r>
  <r>
    <x v="4"/>
    <x v="33"/>
    <m/>
    <m/>
    <m/>
    <m/>
    <m/>
    <m/>
    <m/>
    <m/>
    <m/>
    <m/>
    <m/>
    <m/>
    <m/>
    <m/>
    <m/>
    <m/>
    <m/>
  </r>
  <r>
    <x v="4"/>
    <x v="34"/>
    <m/>
    <m/>
    <m/>
    <m/>
    <m/>
    <m/>
    <m/>
    <m/>
    <m/>
    <m/>
    <m/>
    <m/>
    <m/>
    <m/>
    <m/>
    <m/>
    <m/>
  </r>
  <r>
    <x v="4"/>
    <x v="35"/>
    <m/>
    <m/>
    <m/>
    <m/>
    <m/>
    <m/>
    <m/>
    <m/>
    <m/>
    <m/>
    <m/>
    <m/>
    <m/>
    <m/>
    <m/>
    <m/>
    <m/>
  </r>
  <r>
    <x v="4"/>
    <x v="36"/>
    <m/>
    <m/>
    <m/>
    <m/>
    <m/>
    <m/>
    <m/>
    <m/>
    <m/>
    <m/>
    <m/>
    <m/>
    <m/>
    <m/>
    <m/>
    <m/>
    <m/>
  </r>
  <r>
    <x v="4"/>
    <x v="37"/>
    <m/>
    <m/>
    <m/>
    <m/>
    <m/>
    <m/>
    <m/>
    <m/>
    <m/>
    <m/>
    <m/>
    <m/>
    <m/>
    <m/>
    <m/>
    <m/>
    <m/>
  </r>
  <r>
    <x v="4"/>
    <x v="38"/>
    <m/>
    <m/>
    <m/>
    <m/>
    <m/>
    <m/>
    <m/>
    <m/>
    <m/>
    <m/>
    <m/>
    <m/>
    <m/>
    <m/>
    <m/>
    <m/>
    <m/>
  </r>
  <r>
    <x v="4"/>
    <x v="39"/>
    <m/>
    <m/>
    <m/>
    <m/>
    <m/>
    <m/>
    <m/>
    <m/>
    <m/>
    <m/>
    <m/>
    <m/>
    <m/>
    <m/>
    <m/>
    <m/>
    <m/>
  </r>
  <r>
    <x v="4"/>
    <x v="40"/>
    <m/>
    <m/>
    <m/>
    <m/>
    <m/>
    <m/>
    <m/>
    <m/>
    <m/>
    <m/>
    <m/>
    <m/>
    <m/>
    <m/>
    <m/>
    <m/>
    <m/>
  </r>
  <r>
    <x v="4"/>
    <x v="41"/>
    <m/>
    <m/>
    <m/>
    <m/>
    <m/>
    <m/>
    <m/>
    <m/>
    <m/>
    <m/>
    <m/>
    <m/>
    <m/>
    <m/>
    <m/>
    <m/>
    <m/>
  </r>
  <r>
    <x v="4"/>
    <x v="42"/>
    <m/>
    <m/>
    <m/>
    <m/>
    <m/>
    <m/>
    <m/>
    <m/>
    <m/>
    <m/>
    <m/>
    <m/>
    <m/>
    <m/>
    <m/>
    <m/>
    <m/>
  </r>
  <r>
    <x v="4"/>
    <x v="43"/>
    <m/>
    <m/>
    <m/>
    <m/>
    <m/>
    <m/>
    <m/>
    <m/>
    <m/>
    <m/>
    <m/>
    <m/>
    <m/>
    <m/>
    <m/>
    <m/>
    <m/>
  </r>
  <r>
    <x v="4"/>
    <x v="44"/>
    <m/>
    <m/>
    <m/>
    <m/>
    <m/>
    <m/>
    <m/>
    <m/>
    <m/>
    <m/>
    <m/>
    <m/>
    <m/>
    <m/>
    <m/>
    <m/>
    <m/>
  </r>
  <r>
    <x v="4"/>
    <x v="45"/>
    <m/>
    <m/>
    <m/>
    <m/>
    <m/>
    <m/>
    <m/>
    <m/>
    <m/>
    <m/>
    <m/>
    <m/>
    <m/>
    <m/>
    <m/>
    <m/>
    <m/>
  </r>
  <r>
    <x v="4"/>
    <x v="46"/>
    <m/>
    <m/>
    <m/>
    <m/>
    <m/>
    <m/>
    <m/>
    <m/>
    <m/>
    <m/>
    <m/>
    <m/>
    <m/>
    <m/>
    <m/>
    <m/>
    <m/>
  </r>
  <r>
    <x v="4"/>
    <x v="47"/>
    <m/>
    <m/>
    <m/>
    <m/>
    <m/>
    <m/>
    <m/>
    <m/>
    <m/>
    <m/>
    <m/>
    <m/>
    <m/>
    <m/>
    <m/>
    <m/>
    <m/>
  </r>
  <r>
    <x v="4"/>
    <x v="48"/>
    <m/>
    <m/>
    <m/>
    <m/>
    <m/>
    <m/>
    <m/>
    <m/>
    <m/>
    <m/>
    <m/>
    <m/>
    <m/>
    <m/>
    <m/>
    <m/>
    <m/>
  </r>
  <r>
    <x v="4"/>
    <x v="49"/>
    <m/>
    <m/>
    <m/>
    <m/>
    <m/>
    <m/>
    <m/>
    <m/>
    <m/>
    <m/>
    <m/>
    <m/>
    <m/>
    <m/>
    <m/>
    <m/>
    <m/>
  </r>
  <r>
    <x v="4"/>
    <x v="50"/>
    <m/>
    <m/>
    <m/>
    <m/>
    <m/>
    <m/>
    <m/>
    <m/>
    <m/>
    <m/>
    <m/>
    <m/>
    <m/>
    <m/>
    <m/>
    <m/>
    <m/>
  </r>
  <r>
    <x v="4"/>
    <x v="51"/>
    <m/>
    <m/>
    <m/>
    <m/>
    <m/>
    <m/>
    <m/>
    <m/>
    <m/>
    <m/>
    <m/>
    <m/>
    <m/>
    <m/>
    <m/>
    <m/>
    <m/>
  </r>
  <r>
    <x v="5"/>
    <x v="0"/>
    <m/>
    <m/>
    <m/>
    <m/>
    <m/>
    <n v="0"/>
    <n v="1"/>
    <n v="1"/>
    <m/>
    <m/>
    <m/>
    <m/>
    <m/>
    <m/>
    <m/>
    <n v="1"/>
    <m/>
  </r>
  <r>
    <x v="5"/>
    <x v="1"/>
    <m/>
    <m/>
    <m/>
    <m/>
    <m/>
    <m/>
    <m/>
    <m/>
    <m/>
    <m/>
    <m/>
    <m/>
    <m/>
    <m/>
    <m/>
    <m/>
    <m/>
  </r>
  <r>
    <x v="5"/>
    <x v="2"/>
    <m/>
    <m/>
    <m/>
    <m/>
    <m/>
    <m/>
    <m/>
    <m/>
    <m/>
    <m/>
    <m/>
    <m/>
    <m/>
    <m/>
    <m/>
    <m/>
    <m/>
  </r>
  <r>
    <x v="5"/>
    <x v="3"/>
    <m/>
    <m/>
    <m/>
    <m/>
    <m/>
    <m/>
    <m/>
    <m/>
    <m/>
    <m/>
    <m/>
    <m/>
    <m/>
    <m/>
    <m/>
    <m/>
    <m/>
  </r>
  <r>
    <x v="5"/>
    <x v="4"/>
    <m/>
    <m/>
    <m/>
    <m/>
    <m/>
    <m/>
    <m/>
    <m/>
    <m/>
    <m/>
    <m/>
    <m/>
    <m/>
    <m/>
    <m/>
    <m/>
    <m/>
  </r>
  <r>
    <x v="5"/>
    <x v="5"/>
    <m/>
    <m/>
    <m/>
    <m/>
    <m/>
    <m/>
    <m/>
    <m/>
    <m/>
    <m/>
    <m/>
    <m/>
    <m/>
    <m/>
    <m/>
    <m/>
    <m/>
  </r>
  <r>
    <x v="5"/>
    <x v="6"/>
    <m/>
    <m/>
    <m/>
    <m/>
    <m/>
    <m/>
    <m/>
    <m/>
    <m/>
    <m/>
    <m/>
    <m/>
    <m/>
    <m/>
    <m/>
    <m/>
    <m/>
  </r>
  <r>
    <x v="5"/>
    <x v="7"/>
    <m/>
    <m/>
    <m/>
    <m/>
    <m/>
    <m/>
    <m/>
    <m/>
    <m/>
    <m/>
    <m/>
    <m/>
    <m/>
    <m/>
    <m/>
    <m/>
    <m/>
  </r>
  <r>
    <x v="5"/>
    <x v="8"/>
    <m/>
    <m/>
    <m/>
    <m/>
    <m/>
    <m/>
    <m/>
    <m/>
    <m/>
    <m/>
    <m/>
    <m/>
    <m/>
    <m/>
    <m/>
    <m/>
    <m/>
  </r>
  <r>
    <x v="5"/>
    <x v="9"/>
    <m/>
    <m/>
    <m/>
    <m/>
    <m/>
    <m/>
    <m/>
    <m/>
    <m/>
    <m/>
    <m/>
    <m/>
    <m/>
    <m/>
    <m/>
    <m/>
    <m/>
  </r>
  <r>
    <x v="5"/>
    <x v="10"/>
    <m/>
    <m/>
    <m/>
    <m/>
    <m/>
    <m/>
    <m/>
    <m/>
    <m/>
    <m/>
    <m/>
    <m/>
    <m/>
    <m/>
    <m/>
    <m/>
    <m/>
  </r>
  <r>
    <x v="5"/>
    <x v="11"/>
    <m/>
    <m/>
    <m/>
    <m/>
    <m/>
    <m/>
    <m/>
    <m/>
    <m/>
    <m/>
    <m/>
    <m/>
    <m/>
    <m/>
    <m/>
    <m/>
    <m/>
  </r>
  <r>
    <x v="5"/>
    <x v="12"/>
    <m/>
    <m/>
    <m/>
    <m/>
    <m/>
    <m/>
    <m/>
    <m/>
    <m/>
    <m/>
    <m/>
    <m/>
    <m/>
    <m/>
    <m/>
    <m/>
    <m/>
  </r>
  <r>
    <x v="5"/>
    <x v="13"/>
    <m/>
    <m/>
    <m/>
    <m/>
    <m/>
    <m/>
    <m/>
    <m/>
    <m/>
    <m/>
    <m/>
    <m/>
    <m/>
    <m/>
    <m/>
    <m/>
    <m/>
  </r>
  <r>
    <x v="5"/>
    <x v="14"/>
    <m/>
    <m/>
    <m/>
    <m/>
    <m/>
    <m/>
    <m/>
    <m/>
    <m/>
    <m/>
    <m/>
    <m/>
    <m/>
    <m/>
    <m/>
    <m/>
    <m/>
  </r>
  <r>
    <x v="5"/>
    <x v="15"/>
    <m/>
    <m/>
    <m/>
    <m/>
    <m/>
    <m/>
    <m/>
    <m/>
    <m/>
    <m/>
    <m/>
    <m/>
    <m/>
    <m/>
    <m/>
    <m/>
    <m/>
  </r>
  <r>
    <x v="5"/>
    <x v="16"/>
    <m/>
    <m/>
    <m/>
    <m/>
    <m/>
    <m/>
    <m/>
    <m/>
    <m/>
    <m/>
    <m/>
    <m/>
    <m/>
    <m/>
    <m/>
    <m/>
    <m/>
  </r>
  <r>
    <x v="5"/>
    <x v="17"/>
    <m/>
    <m/>
    <m/>
    <m/>
    <m/>
    <m/>
    <m/>
    <m/>
    <m/>
    <m/>
    <m/>
    <m/>
    <m/>
    <m/>
    <m/>
    <m/>
    <m/>
  </r>
  <r>
    <x v="5"/>
    <x v="18"/>
    <m/>
    <m/>
    <m/>
    <m/>
    <m/>
    <m/>
    <m/>
    <m/>
    <m/>
    <m/>
    <m/>
    <m/>
    <m/>
    <m/>
    <m/>
    <m/>
    <m/>
  </r>
  <r>
    <x v="5"/>
    <x v="19"/>
    <m/>
    <m/>
    <m/>
    <m/>
    <m/>
    <m/>
    <m/>
    <m/>
    <m/>
    <m/>
    <m/>
    <m/>
    <m/>
    <m/>
    <m/>
    <m/>
    <m/>
  </r>
  <r>
    <x v="5"/>
    <x v="20"/>
    <m/>
    <m/>
    <m/>
    <m/>
    <m/>
    <m/>
    <m/>
    <m/>
    <m/>
    <m/>
    <m/>
    <m/>
    <m/>
    <m/>
    <m/>
    <m/>
    <m/>
  </r>
  <r>
    <x v="5"/>
    <x v="21"/>
    <m/>
    <m/>
    <m/>
    <m/>
    <m/>
    <m/>
    <m/>
    <m/>
    <m/>
    <m/>
    <m/>
    <m/>
    <m/>
    <m/>
    <m/>
    <m/>
    <m/>
  </r>
  <r>
    <x v="5"/>
    <x v="22"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</r>
  <r>
    <x v="5"/>
    <x v="24"/>
    <m/>
    <m/>
    <m/>
    <m/>
    <m/>
    <m/>
    <m/>
    <m/>
    <m/>
    <m/>
    <m/>
    <m/>
    <m/>
    <m/>
    <m/>
    <m/>
    <m/>
  </r>
  <r>
    <x v="5"/>
    <x v="25"/>
    <m/>
    <m/>
    <m/>
    <m/>
    <m/>
    <m/>
    <m/>
    <m/>
    <m/>
    <m/>
    <m/>
    <m/>
    <m/>
    <m/>
    <m/>
    <m/>
    <m/>
  </r>
  <r>
    <x v="5"/>
    <x v="26"/>
    <m/>
    <m/>
    <m/>
    <m/>
    <m/>
    <m/>
    <m/>
    <m/>
    <m/>
    <m/>
    <m/>
    <m/>
    <m/>
    <m/>
    <m/>
    <m/>
    <m/>
  </r>
  <r>
    <x v="5"/>
    <x v="27"/>
    <m/>
    <m/>
    <m/>
    <m/>
    <m/>
    <m/>
    <m/>
    <m/>
    <m/>
    <m/>
    <m/>
    <m/>
    <m/>
    <m/>
    <m/>
    <m/>
    <m/>
  </r>
  <r>
    <x v="5"/>
    <x v="28"/>
    <m/>
    <m/>
    <m/>
    <m/>
    <m/>
    <m/>
    <m/>
    <m/>
    <m/>
    <m/>
    <m/>
    <m/>
    <m/>
    <m/>
    <m/>
    <m/>
    <m/>
  </r>
  <r>
    <x v="5"/>
    <x v="29"/>
    <m/>
    <m/>
    <m/>
    <m/>
    <m/>
    <m/>
    <m/>
    <m/>
    <m/>
    <m/>
    <m/>
    <m/>
    <m/>
    <m/>
    <m/>
    <m/>
    <m/>
  </r>
  <r>
    <x v="5"/>
    <x v="30"/>
    <m/>
    <m/>
    <m/>
    <m/>
    <m/>
    <m/>
    <m/>
    <m/>
    <m/>
    <m/>
    <m/>
    <m/>
    <m/>
    <m/>
    <m/>
    <m/>
    <m/>
  </r>
  <r>
    <x v="5"/>
    <x v="31"/>
    <m/>
    <m/>
    <m/>
    <m/>
    <m/>
    <m/>
    <m/>
    <m/>
    <m/>
    <m/>
    <m/>
    <m/>
    <m/>
    <m/>
    <m/>
    <m/>
    <m/>
  </r>
  <r>
    <x v="5"/>
    <x v="32"/>
    <m/>
    <m/>
    <m/>
    <m/>
    <m/>
    <m/>
    <m/>
    <m/>
    <m/>
    <m/>
    <m/>
    <m/>
    <m/>
    <m/>
    <m/>
    <m/>
    <m/>
  </r>
  <r>
    <x v="5"/>
    <x v="33"/>
    <m/>
    <m/>
    <m/>
    <m/>
    <m/>
    <m/>
    <m/>
    <m/>
    <m/>
    <m/>
    <m/>
    <m/>
    <m/>
    <m/>
    <m/>
    <m/>
    <m/>
  </r>
  <r>
    <x v="5"/>
    <x v="34"/>
    <m/>
    <m/>
    <m/>
    <m/>
    <m/>
    <m/>
    <m/>
    <m/>
    <m/>
    <m/>
    <m/>
    <m/>
    <m/>
    <m/>
    <m/>
    <m/>
    <m/>
  </r>
  <r>
    <x v="5"/>
    <x v="35"/>
    <m/>
    <m/>
    <m/>
    <m/>
    <m/>
    <m/>
    <m/>
    <m/>
    <m/>
    <m/>
    <m/>
    <m/>
    <m/>
    <m/>
    <m/>
    <m/>
    <m/>
  </r>
  <r>
    <x v="5"/>
    <x v="36"/>
    <m/>
    <m/>
    <m/>
    <m/>
    <m/>
    <m/>
    <m/>
    <m/>
    <m/>
    <m/>
    <m/>
    <m/>
    <m/>
    <m/>
    <m/>
    <m/>
    <m/>
  </r>
  <r>
    <x v="5"/>
    <x v="37"/>
    <m/>
    <m/>
    <m/>
    <m/>
    <m/>
    <m/>
    <m/>
    <m/>
    <m/>
    <m/>
    <m/>
    <m/>
    <m/>
    <m/>
    <m/>
    <m/>
    <m/>
  </r>
  <r>
    <x v="5"/>
    <x v="38"/>
    <m/>
    <m/>
    <m/>
    <m/>
    <m/>
    <m/>
    <m/>
    <m/>
    <m/>
    <m/>
    <m/>
    <m/>
    <m/>
    <m/>
    <m/>
    <m/>
    <m/>
  </r>
  <r>
    <x v="5"/>
    <x v="39"/>
    <m/>
    <m/>
    <m/>
    <m/>
    <m/>
    <m/>
    <m/>
    <m/>
    <m/>
    <m/>
    <m/>
    <m/>
    <m/>
    <m/>
    <m/>
    <m/>
    <m/>
  </r>
  <r>
    <x v="5"/>
    <x v="40"/>
    <m/>
    <m/>
    <m/>
    <m/>
    <m/>
    <m/>
    <m/>
    <m/>
    <m/>
    <m/>
    <m/>
    <m/>
    <m/>
    <m/>
    <m/>
    <m/>
    <m/>
  </r>
  <r>
    <x v="5"/>
    <x v="41"/>
    <m/>
    <m/>
    <m/>
    <m/>
    <m/>
    <m/>
    <m/>
    <m/>
    <m/>
    <m/>
    <m/>
    <m/>
    <m/>
    <m/>
    <m/>
    <m/>
    <m/>
  </r>
  <r>
    <x v="5"/>
    <x v="42"/>
    <m/>
    <m/>
    <m/>
    <m/>
    <m/>
    <m/>
    <m/>
    <m/>
    <m/>
    <m/>
    <m/>
    <m/>
    <m/>
    <m/>
    <m/>
    <m/>
    <m/>
  </r>
  <r>
    <x v="5"/>
    <x v="43"/>
    <m/>
    <m/>
    <m/>
    <m/>
    <m/>
    <m/>
    <m/>
    <m/>
    <m/>
    <m/>
    <m/>
    <m/>
    <m/>
    <m/>
    <m/>
    <m/>
    <m/>
  </r>
  <r>
    <x v="5"/>
    <x v="44"/>
    <m/>
    <m/>
    <m/>
    <m/>
    <m/>
    <m/>
    <m/>
    <m/>
    <m/>
    <m/>
    <m/>
    <m/>
    <m/>
    <m/>
    <m/>
    <m/>
    <m/>
  </r>
  <r>
    <x v="5"/>
    <x v="45"/>
    <m/>
    <m/>
    <m/>
    <m/>
    <m/>
    <m/>
    <m/>
    <m/>
    <m/>
    <m/>
    <m/>
    <m/>
    <m/>
    <m/>
    <m/>
    <m/>
    <m/>
  </r>
  <r>
    <x v="5"/>
    <x v="46"/>
    <m/>
    <m/>
    <m/>
    <m/>
    <m/>
    <m/>
    <m/>
    <m/>
    <m/>
    <m/>
    <m/>
    <m/>
    <m/>
    <m/>
    <m/>
    <m/>
    <m/>
  </r>
  <r>
    <x v="5"/>
    <x v="47"/>
    <m/>
    <m/>
    <m/>
    <m/>
    <m/>
    <m/>
    <m/>
    <m/>
    <m/>
    <m/>
    <m/>
    <m/>
    <m/>
    <m/>
    <m/>
    <m/>
    <m/>
  </r>
  <r>
    <x v="5"/>
    <x v="48"/>
    <m/>
    <m/>
    <m/>
    <m/>
    <m/>
    <m/>
    <m/>
    <m/>
    <m/>
    <m/>
    <m/>
    <m/>
    <m/>
    <m/>
    <m/>
    <m/>
    <m/>
  </r>
  <r>
    <x v="5"/>
    <x v="49"/>
    <m/>
    <m/>
    <m/>
    <m/>
    <m/>
    <m/>
    <m/>
    <m/>
    <m/>
    <m/>
    <m/>
    <m/>
    <m/>
    <m/>
    <m/>
    <m/>
    <m/>
  </r>
  <r>
    <x v="5"/>
    <x v="50"/>
    <m/>
    <m/>
    <m/>
    <m/>
    <m/>
    <m/>
    <m/>
    <m/>
    <m/>
    <m/>
    <m/>
    <m/>
    <m/>
    <m/>
    <m/>
    <m/>
    <m/>
  </r>
  <r>
    <x v="5"/>
    <x v="51"/>
    <m/>
    <m/>
    <m/>
    <m/>
    <m/>
    <m/>
    <m/>
    <m/>
    <m/>
    <m/>
    <m/>
    <m/>
    <m/>
    <m/>
    <m/>
    <m/>
    <m/>
  </r>
  <r>
    <x v="6"/>
    <x v="0"/>
    <m/>
    <m/>
    <m/>
    <m/>
    <m/>
    <m/>
    <m/>
    <m/>
    <m/>
    <m/>
    <m/>
    <m/>
    <m/>
    <m/>
    <m/>
    <m/>
    <m/>
  </r>
  <r>
    <x v="6"/>
    <x v="1"/>
    <m/>
    <m/>
    <m/>
    <m/>
    <m/>
    <m/>
    <m/>
    <m/>
    <m/>
    <m/>
    <m/>
    <m/>
    <m/>
    <m/>
    <m/>
    <m/>
    <m/>
  </r>
  <r>
    <x v="6"/>
    <x v="2"/>
    <m/>
    <m/>
    <m/>
    <m/>
    <m/>
    <m/>
    <m/>
    <m/>
    <m/>
    <m/>
    <m/>
    <m/>
    <m/>
    <m/>
    <m/>
    <m/>
    <m/>
  </r>
  <r>
    <x v="6"/>
    <x v="3"/>
    <m/>
    <m/>
    <m/>
    <m/>
    <m/>
    <m/>
    <m/>
    <m/>
    <m/>
    <m/>
    <m/>
    <m/>
    <m/>
    <m/>
    <m/>
    <m/>
    <m/>
  </r>
  <r>
    <x v="6"/>
    <x v="4"/>
    <m/>
    <m/>
    <m/>
    <m/>
    <m/>
    <m/>
    <m/>
    <m/>
    <m/>
    <m/>
    <m/>
    <m/>
    <m/>
    <m/>
    <m/>
    <m/>
    <m/>
  </r>
  <r>
    <x v="6"/>
    <x v="5"/>
    <m/>
    <m/>
    <m/>
    <m/>
    <m/>
    <m/>
    <m/>
    <m/>
    <m/>
    <m/>
    <m/>
    <m/>
    <m/>
    <m/>
    <m/>
    <m/>
    <m/>
  </r>
  <r>
    <x v="6"/>
    <x v="6"/>
    <m/>
    <m/>
    <m/>
    <m/>
    <m/>
    <m/>
    <m/>
    <m/>
    <m/>
    <m/>
    <m/>
    <m/>
    <m/>
    <m/>
    <m/>
    <m/>
    <m/>
  </r>
  <r>
    <x v="6"/>
    <x v="7"/>
    <m/>
    <n v="1"/>
    <m/>
    <n v="1"/>
    <m/>
    <n v="1"/>
    <m/>
    <m/>
    <m/>
    <m/>
    <n v="1"/>
    <m/>
    <m/>
    <m/>
    <m/>
    <m/>
    <m/>
  </r>
  <r>
    <x v="6"/>
    <x v="8"/>
    <m/>
    <m/>
    <m/>
    <m/>
    <m/>
    <m/>
    <m/>
    <m/>
    <m/>
    <m/>
    <m/>
    <m/>
    <m/>
    <m/>
    <m/>
    <m/>
    <m/>
  </r>
  <r>
    <x v="6"/>
    <x v="9"/>
    <m/>
    <m/>
    <m/>
    <m/>
    <m/>
    <m/>
    <m/>
    <m/>
    <m/>
    <m/>
    <m/>
    <m/>
    <m/>
    <m/>
    <m/>
    <m/>
    <m/>
  </r>
  <r>
    <x v="6"/>
    <x v="10"/>
    <m/>
    <m/>
    <m/>
    <m/>
    <m/>
    <m/>
    <m/>
    <m/>
    <m/>
    <m/>
    <m/>
    <m/>
    <m/>
    <m/>
    <m/>
    <m/>
    <m/>
  </r>
  <r>
    <x v="6"/>
    <x v="11"/>
    <m/>
    <m/>
    <m/>
    <m/>
    <m/>
    <m/>
    <m/>
    <m/>
    <m/>
    <m/>
    <m/>
    <m/>
    <m/>
    <m/>
    <m/>
    <m/>
    <m/>
  </r>
  <r>
    <x v="6"/>
    <x v="12"/>
    <m/>
    <m/>
    <m/>
    <m/>
    <m/>
    <m/>
    <m/>
    <m/>
    <m/>
    <m/>
    <m/>
    <m/>
    <m/>
    <m/>
    <m/>
    <m/>
    <m/>
  </r>
  <r>
    <x v="6"/>
    <x v="13"/>
    <m/>
    <m/>
    <m/>
    <m/>
    <m/>
    <m/>
    <m/>
    <m/>
    <m/>
    <m/>
    <m/>
    <m/>
    <m/>
    <m/>
    <m/>
    <m/>
    <m/>
  </r>
  <r>
    <x v="6"/>
    <x v="14"/>
    <m/>
    <m/>
    <m/>
    <m/>
    <m/>
    <m/>
    <n v="3"/>
    <n v="3"/>
    <m/>
    <m/>
    <m/>
    <m/>
    <n v="1"/>
    <m/>
    <n v="1"/>
    <n v="1"/>
    <m/>
  </r>
  <r>
    <x v="6"/>
    <x v="15"/>
    <m/>
    <m/>
    <m/>
    <m/>
    <m/>
    <m/>
    <m/>
    <m/>
    <m/>
    <m/>
    <m/>
    <m/>
    <m/>
    <m/>
    <m/>
    <m/>
    <m/>
  </r>
  <r>
    <x v="6"/>
    <x v="16"/>
    <m/>
    <m/>
    <m/>
    <m/>
    <m/>
    <m/>
    <m/>
    <m/>
    <m/>
    <m/>
    <m/>
    <m/>
    <m/>
    <m/>
    <m/>
    <m/>
    <m/>
  </r>
  <r>
    <x v="6"/>
    <x v="17"/>
    <m/>
    <m/>
    <m/>
    <m/>
    <m/>
    <m/>
    <m/>
    <m/>
    <m/>
    <m/>
    <m/>
    <m/>
    <m/>
    <m/>
    <m/>
    <m/>
    <m/>
  </r>
  <r>
    <x v="6"/>
    <x v="18"/>
    <m/>
    <m/>
    <m/>
    <m/>
    <m/>
    <m/>
    <m/>
    <m/>
    <m/>
    <m/>
    <m/>
    <m/>
    <m/>
    <m/>
    <m/>
    <m/>
    <m/>
  </r>
  <r>
    <x v="6"/>
    <x v="19"/>
    <m/>
    <m/>
    <m/>
    <m/>
    <m/>
    <m/>
    <m/>
    <m/>
    <m/>
    <m/>
    <m/>
    <m/>
    <m/>
    <m/>
    <m/>
    <m/>
    <m/>
  </r>
  <r>
    <x v="6"/>
    <x v="20"/>
    <m/>
    <m/>
    <m/>
    <m/>
    <m/>
    <m/>
    <m/>
    <m/>
    <m/>
    <m/>
    <m/>
    <m/>
    <m/>
    <m/>
    <m/>
    <m/>
    <m/>
  </r>
  <r>
    <x v="6"/>
    <x v="21"/>
    <m/>
    <m/>
    <m/>
    <m/>
    <m/>
    <m/>
    <m/>
    <m/>
    <m/>
    <m/>
    <m/>
    <m/>
    <m/>
    <m/>
    <m/>
    <m/>
    <m/>
  </r>
  <r>
    <x v="6"/>
    <x v="22"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</r>
  <r>
    <x v="6"/>
    <x v="24"/>
    <m/>
    <m/>
    <m/>
    <m/>
    <m/>
    <m/>
    <m/>
    <m/>
    <m/>
    <m/>
    <m/>
    <m/>
    <m/>
    <m/>
    <m/>
    <m/>
    <m/>
  </r>
  <r>
    <x v="6"/>
    <x v="25"/>
    <m/>
    <m/>
    <m/>
    <m/>
    <m/>
    <m/>
    <m/>
    <m/>
    <m/>
    <m/>
    <m/>
    <m/>
    <m/>
    <m/>
    <m/>
    <m/>
    <m/>
  </r>
  <r>
    <x v="6"/>
    <x v="26"/>
    <m/>
    <m/>
    <m/>
    <m/>
    <m/>
    <m/>
    <m/>
    <m/>
    <m/>
    <m/>
    <m/>
    <m/>
    <m/>
    <m/>
    <m/>
    <m/>
    <m/>
  </r>
  <r>
    <x v="6"/>
    <x v="52"/>
    <n v="1"/>
    <m/>
    <n v="1"/>
    <m/>
    <n v="1"/>
    <m/>
    <n v="3"/>
    <n v="3"/>
    <m/>
    <m/>
    <n v="1"/>
    <n v="1"/>
    <n v="1"/>
    <m/>
    <n v="1"/>
    <n v="1"/>
    <m/>
  </r>
  <r>
    <x v="6"/>
    <x v="27"/>
    <m/>
    <m/>
    <m/>
    <m/>
    <m/>
    <m/>
    <m/>
    <m/>
    <m/>
    <m/>
    <m/>
    <m/>
    <m/>
    <m/>
    <m/>
    <m/>
    <m/>
  </r>
  <r>
    <x v="6"/>
    <x v="28"/>
    <m/>
    <m/>
    <m/>
    <m/>
    <m/>
    <m/>
    <m/>
    <m/>
    <m/>
    <m/>
    <m/>
    <m/>
    <m/>
    <m/>
    <m/>
    <m/>
    <m/>
  </r>
  <r>
    <x v="6"/>
    <x v="29"/>
    <m/>
    <m/>
    <m/>
    <m/>
    <m/>
    <m/>
    <n v="3"/>
    <n v="3"/>
    <m/>
    <m/>
    <m/>
    <m/>
    <n v="1"/>
    <m/>
    <n v="1"/>
    <n v="1"/>
    <m/>
  </r>
  <r>
    <x v="6"/>
    <x v="30"/>
    <m/>
    <m/>
    <m/>
    <m/>
    <m/>
    <m/>
    <n v="3"/>
    <n v="3"/>
    <m/>
    <m/>
    <m/>
    <m/>
    <n v="1"/>
    <m/>
    <n v="1"/>
    <n v="1"/>
    <m/>
  </r>
  <r>
    <x v="6"/>
    <x v="31"/>
    <n v="1"/>
    <n v="3"/>
    <n v="1"/>
    <n v="2"/>
    <n v="1"/>
    <n v="2"/>
    <n v="21"/>
    <n v="14"/>
    <m/>
    <n v="1"/>
    <n v="2"/>
    <n v="2"/>
    <n v="11"/>
    <n v="1"/>
    <n v="15"/>
    <n v="12"/>
    <m/>
  </r>
  <r>
    <x v="6"/>
    <x v="32"/>
    <m/>
    <m/>
    <m/>
    <m/>
    <m/>
    <m/>
    <m/>
    <m/>
    <m/>
    <m/>
    <m/>
    <m/>
    <m/>
    <m/>
    <m/>
    <m/>
    <m/>
  </r>
  <r>
    <x v="6"/>
    <x v="33"/>
    <m/>
    <m/>
    <m/>
    <m/>
    <m/>
    <m/>
    <m/>
    <m/>
    <m/>
    <m/>
    <m/>
    <m/>
    <m/>
    <m/>
    <m/>
    <m/>
    <m/>
  </r>
  <r>
    <x v="6"/>
    <x v="34"/>
    <m/>
    <m/>
    <m/>
    <m/>
    <m/>
    <m/>
    <m/>
    <m/>
    <m/>
    <m/>
    <m/>
    <m/>
    <m/>
    <m/>
    <m/>
    <m/>
    <m/>
  </r>
  <r>
    <x v="6"/>
    <x v="35"/>
    <m/>
    <m/>
    <m/>
    <m/>
    <m/>
    <m/>
    <m/>
    <m/>
    <m/>
    <m/>
    <m/>
    <m/>
    <m/>
    <m/>
    <m/>
    <m/>
    <m/>
  </r>
  <r>
    <x v="6"/>
    <x v="36"/>
    <m/>
    <m/>
    <m/>
    <m/>
    <m/>
    <m/>
    <m/>
    <m/>
    <m/>
    <m/>
    <m/>
    <m/>
    <m/>
    <m/>
    <m/>
    <m/>
    <m/>
  </r>
  <r>
    <x v="6"/>
    <x v="53"/>
    <n v="1"/>
    <n v="2"/>
    <m/>
    <n v="1"/>
    <n v="1"/>
    <n v="3"/>
    <n v="9"/>
    <n v="6"/>
    <n v="8"/>
    <m/>
    <n v="1"/>
    <m/>
    <n v="2"/>
    <n v="1"/>
    <n v="2"/>
    <n v="2"/>
    <m/>
  </r>
  <r>
    <x v="6"/>
    <x v="37"/>
    <m/>
    <m/>
    <m/>
    <m/>
    <m/>
    <m/>
    <m/>
    <m/>
    <m/>
    <m/>
    <m/>
    <m/>
    <m/>
    <m/>
    <m/>
    <m/>
    <m/>
  </r>
  <r>
    <x v="6"/>
    <x v="38"/>
    <m/>
    <m/>
    <m/>
    <m/>
    <m/>
    <m/>
    <m/>
    <m/>
    <m/>
    <m/>
    <m/>
    <m/>
    <m/>
    <m/>
    <m/>
    <m/>
    <m/>
  </r>
  <r>
    <x v="6"/>
    <x v="39"/>
    <n v="1"/>
    <m/>
    <n v="1"/>
    <m/>
    <n v="1"/>
    <m/>
    <n v="3"/>
    <n v="4"/>
    <m/>
    <m/>
    <n v="2"/>
    <m/>
    <m/>
    <n v="1"/>
    <n v="1"/>
    <m/>
    <m/>
  </r>
  <r>
    <x v="6"/>
    <x v="40"/>
    <m/>
    <m/>
    <m/>
    <m/>
    <m/>
    <m/>
    <m/>
    <m/>
    <m/>
    <m/>
    <m/>
    <m/>
    <m/>
    <m/>
    <m/>
    <m/>
    <m/>
  </r>
  <r>
    <x v="6"/>
    <x v="41"/>
    <m/>
    <m/>
    <m/>
    <m/>
    <m/>
    <m/>
    <m/>
    <m/>
    <m/>
    <m/>
    <m/>
    <m/>
    <m/>
    <m/>
    <m/>
    <m/>
    <m/>
  </r>
  <r>
    <x v="6"/>
    <x v="42"/>
    <m/>
    <m/>
    <m/>
    <m/>
    <m/>
    <m/>
    <m/>
    <m/>
    <m/>
    <m/>
    <m/>
    <m/>
    <m/>
    <m/>
    <m/>
    <m/>
    <m/>
  </r>
  <r>
    <x v="6"/>
    <x v="43"/>
    <m/>
    <m/>
    <m/>
    <m/>
    <m/>
    <m/>
    <m/>
    <m/>
    <m/>
    <m/>
    <m/>
    <m/>
    <m/>
    <m/>
    <m/>
    <m/>
    <m/>
  </r>
  <r>
    <x v="6"/>
    <x v="44"/>
    <m/>
    <m/>
    <m/>
    <m/>
    <m/>
    <m/>
    <m/>
    <m/>
    <m/>
    <m/>
    <m/>
    <m/>
    <m/>
    <m/>
    <m/>
    <m/>
    <m/>
  </r>
  <r>
    <x v="6"/>
    <x v="45"/>
    <m/>
    <m/>
    <m/>
    <m/>
    <m/>
    <m/>
    <m/>
    <m/>
    <m/>
    <m/>
    <m/>
    <m/>
    <m/>
    <m/>
    <m/>
    <m/>
    <m/>
  </r>
  <r>
    <x v="6"/>
    <x v="46"/>
    <m/>
    <m/>
    <m/>
    <m/>
    <m/>
    <m/>
    <m/>
    <m/>
    <m/>
    <m/>
    <m/>
    <m/>
    <m/>
    <m/>
    <m/>
    <m/>
    <m/>
  </r>
  <r>
    <x v="6"/>
    <x v="47"/>
    <m/>
    <m/>
    <m/>
    <m/>
    <m/>
    <m/>
    <m/>
    <m/>
    <m/>
    <m/>
    <m/>
    <m/>
    <m/>
    <m/>
    <m/>
    <m/>
    <m/>
  </r>
  <r>
    <x v="6"/>
    <x v="48"/>
    <m/>
    <m/>
    <m/>
    <m/>
    <m/>
    <m/>
    <m/>
    <m/>
    <m/>
    <m/>
    <m/>
    <m/>
    <m/>
    <m/>
    <m/>
    <m/>
    <m/>
  </r>
  <r>
    <x v="6"/>
    <x v="49"/>
    <m/>
    <m/>
    <m/>
    <m/>
    <m/>
    <m/>
    <m/>
    <m/>
    <m/>
    <m/>
    <m/>
    <m/>
    <m/>
    <m/>
    <m/>
    <m/>
    <m/>
  </r>
  <r>
    <x v="6"/>
    <x v="50"/>
    <m/>
    <m/>
    <m/>
    <m/>
    <m/>
    <m/>
    <m/>
    <m/>
    <m/>
    <m/>
    <m/>
    <m/>
    <m/>
    <m/>
    <m/>
    <m/>
    <m/>
  </r>
  <r>
    <x v="6"/>
    <x v="51"/>
    <m/>
    <m/>
    <m/>
    <m/>
    <m/>
    <m/>
    <m/>
    <m/>
    <m/>
    <m/>
    <m/>
    <m/>
    <m/>
    <m/>
    <m/>
    <m/>
    <m/>
  </r>
  <r>
    <x v="7"/>
    <x v="0"/>
    <m/>
    <m/>
    <m/>
    <m/>
    <m/>
    <m/>
    <m/>
    <m/>
    <m/>
    <m/>
    <m/>
    <m/>
    <m/>
    <m/>
    <m/>
    <m/>
    <m/>
  </r>
  <r>
    <x v="7"/>
    <x v="1"/>
    <m/>
    <m/>
    <m/>
    <m/>
    <m/>
    <m/>
    <m/>
    <m/>
    <m/>
    <m/>
    <m/>
    <m/>
    <m/>
    <m/>
    <m/>
    <m/>
    <m/>
  </r>
  <r>
    <x v="7"/>
    <x v="2"/>
    <m/>
    <m/>
    <m/>
    <m/>
    <m/>
    <m/>
    <m/>
    <m/>
    <m/>
    <m/>
    <m/>
    <m/>
    <m/>
    <m/>
    <m/>
    <m/>
    <m/>
  </r>
  <r>
    <x v="7"/>
    <x v="3"/>
    <m/>
    <m/>
    <m/>
    <m/>
    <m/>
    <m/>
    <m/>
    <m/>
    <m/>
    <m/>
    <m/>
    <m/>
    <m/>
    <m/>
    <m/>
    <m/>
    <m/>
  </r>
  <r>
    <x v="7"/>
    <x v="4"/>
    <m/>
    <m/>
    <m/>
    <m/>
    <m/>
    <m/>
    <m/>
    <m/>
    <m/>
    <m/>
    <m/>
    <m/>
    <m/>
    <m/>
    <m/>
    <m/>
    <m/>
  </r>
  <r>
    <x v="7"/>
    <x v="5"/>
    <m/>
    <m/>
    <m/>
    <m/>
    <m/>
    <m/>
    <n v="2"/>
    <n v="4"/>
    <n v="2"/>
    <m/>
    <n v="4"/>
    <n v="2"/>
    <n v="2"/>
    <m/>
    <n v="1"/>
    <m/>
    <m/>
  </r>
  <r>
    <x v="7"/>
    <x v="6"/>
    <m/>
    <m/>
    <m/>
    <m/>
    <m/>
    <m/>
    <m/>
    <m/>
    <m/>
    <m/>
    <m/>
    <m/>
    <m/>
    <m/>
    <m/>
    <m/>
    <m/>
  </r>
  <r>
    <x v="7"/>
    <x v="7"/>
    <m/>
    <m/>
    <m/>
    <m/>
    <m/>
    <m/>
    <m/>
    <m/>
    <m/>
    <m/>
    <m/>
    <m/>
    <m/>
    <m/>
    <m/>
    <m/>
    <m/>
  </r>
  <r>
    <x v="7"/>
    <x v="8"/>
    <m/>
    <m/>
    <m/>
    <m/>
    <m/>
    <m/>
    <m/>
    <m/>
    <m/>
    <m/>
    <m/>
    <m/>
    <m/>
    <m/>
    <m/>
    <m/>
    <m/>
  </r>
  <r>
    <x v="7"/>
    <x v="9"/>
    <m/>
    <m/>
    <m/>
    <m/>
    <m/>
    <m/>
    <n v="1"/>
    <m/>
    <m/>
    <m/>
    <n v="1"/>
    <m/>
    <n v="1"/>
    <n v="1"/>
    <n v="1"/>
    <n v="1"/>
    <m/>
  </r>
  <r>
    <x v="7"/>
    <x v="10"/>
    <m/>
    <m/>
    <m/>
    <m/>
    <m/>
    <m/>
    <m/>
    <m/>
    <m/>
    <m/>
    <m/>
    <m/>
    <m/>
    <m/>
    <m/>
    <m/>
    <m/>
  </r>
  <r>
    <x v="7"/>
    <x v="11"/>
    <m/>
    <m/>
    <m/>
    <m/>
    <m/>
    <m/>
    <m/>
    <m/>
    <m/>
    <m/>
    <m/>
    <m/>
    <m/>
    <m/>
    <m/>
    <m/>
    <m/>
  </r>
  <r>
    <x v="7"/>
    <x v="12"/>
    <m/>
    <m/>
    <m/>
    <m/>
    <m/>
    <m/>
    <m/>
    <m/>
    <m/>
    <m/>
    <m/>
    <m/>
    <m/>
    <m/>
    <m/>
    <m/>
    <m/>
  </r>
  <r>
    <x v="7"/>
    <x v="13"/>
    <m/>
    <m/>
    <m/>
    <m/>
    <m/>
    <m/>
    <m/>
    <m/>
    <m/>
    <m/>
    <m/>
    <m/>
    <m/>
    <m/>
    <m/>
    <m/>
    <m/>
  </r>
  <r>
    <x v="7"/>
    <x v="14"/>
    <m/>
    <m/>
    <m/>
    <m/>
    <m/>
    <m/>
    <m/>
    <m/>
    <m/>
    <m/>
    <m/>
    <n v="1"/>
    <m/>
    <n v="1"/>
    <m/>
    <m/>
    <m/>
  </r>
  <r>
    <x v="7"/>
    <x v="15"/>
    <m/>
    <m/>
    <m/>
    <m/>
    <m/>
    <m/>
    <m/>
    <m/>
    <m/>
    <m/>
    <m/>
    <m/>
    <m/>
    <m/>
    <m/>
    <m/>
    <m/>
  </r>
  <r>
    <x v="7"/>
    <x v="16"/>
    <m/>
    <m/>
    <m/>
    <m/>
    <m/>
    <m/>
    <m/>
    <m/>
    <m/>
    <m/>
    <m/>
    <m/>
    <m/>
    <m/>
    <m/>
    <m/>
    <m/>
  </r>
  <r>
    <x v="7"/>
    <x v="17"/>
    <m/>
    <m/>
    <m/>
    <m/>
    <m/>
    <m/>
    <m/>
    <m/>
    <m/>
    <m/>
    <m/>
    <m/>
    <m/>
    <m/>
    <m/>
    <m/>
    <m/>
  </r>
  <r>
    <x v="7"/>
    <x v="18"/>
    <n v="5"/>
    <m/>
    <m/>
    <m/>
    <m/>
    <m/>
    <m/>
    <m/>
    <m/>
    <m/>
    <m/>
    <n v="1"/>
    <m/>
    <m/>
    <m/>
    <m/>
    <m/>
  </r>
  <r>
    <x v="7"/>
    <x v="19"/>
    <m/>
    <m/>
    <m/>
    <m/>
    <m/>
    <m/>
    <m/>
    <m/>
    <m/>
    <m/>
    <m/>
    <m/>
    <m/>
    <m/>
    <m/>
    <m/>
    <m/>
  </r>
  <r>
    <x v="7"/>
    <x v="20"/>
    <m/>
    <m/>
    <m/>
    <m/>
    <m/>
    <m/>
    <m/>
    <n v="4"/>
    <n v="1"/>
    <n v="4"/>
    <n v="5"/>
    <n v="8"/>
    <n v="1"/>
    <n v="9"/>
    <n v="3"/>
    <n v="2"/>
    <m/>
  </r>
  <r>
    <x v="7"/>
    <x v="21"/>
    <m/>
    <m/>
    <m/>
    <m/>
    <m/>
    <m/>
    <m/>
    <m/>
    <m/>
    <m/>
    <m/>
    <m/>
    <m/>
    <m/>
    <m/>
    <m/>
    <m/>
  </r>
  <r>
    <x v="7"/>
    <x v="22"/>
    <m/>
    <m/>
    <m/>
    <m/>
    <m/>
    <m/>
    <m/>
    <m/>
    <m/>
    <m/>
    <m/>
    <m/>
    <m/>
    <m/>
    <m/>
    <m/>
    <m/>
  </r>
  <r>
    <x v="7"/>
    <x v="23"/>
    <m/>
    <m/>
    <m/>
    <m/>
    <m/>
    <m/>
    <m/>
    <n v="4"/>
    <m/>
    <n v="4"/>
    <m/>
    <n v="8"/>
    <m/>
    <n v="4"/>
    <m/>
    <m/>
    <m/>
  </r>
  <r>
    <x v="7"/>
    <x v="24"/>
    <m/>
    <m/>
    <m/>
    <m/>
    <m/>
    <m/>
    <m/>
    <m/>
    <m/>
    <m/>
    <m/>
    <m/>
    <m/>
    <m/>
    <m/>
    <m/>
    <m/>
  </r>
  <r>
    <x v="7"/>
    <x v="25"/>
    <m/>
    <m/>
    <m/>
    <m/>
    <m/>
    <m/>
    <m/>
    <m/>
    <m/>
    <m/>
    <m/>
    <m/>
    <m/>
    <m/>
    <m/>
    <m/>
    <m/>
  </r>
  <r>
    <x v="7"/>
    <x v="26"/>
    <m/>
    <m/>
    <m/>
    <m/>
    <m/>
    <m/>
    <m/>
    <n v="4"/>
    <m/>
    <n v="4"/>
    <m/>
    <n v="8"/>
    <m/>
    <n v="4"/>
    <m/>
    <m/>
    <m/>
  </r>
  <r>
    <x v="7"/>
    <x v="27"/>
    <m/>
    <m/>
    <m/>
    <m/>
    <m/>
    <m/>
    <m/>
    <m/>
    <m/>
    <m/>
    <m/>
    <m/>
    <m/>
    <m/>
    <m/>
    <m/>
    <m/>
  </r>
  <r>
    <x v="7"/>
    <x v="28"/>
    <m/>
    <m/>
    <m/>
    <m/>
    <m/>
    <m/>
    <m/>
    <m/>
    <m/>
    <m/>
    <n v="3"/>
    <n v="2"/>
    <n v="3"/>
    <n v="2"/>
    <n v="2"/>
    <n v="3"/>
    <m/>
  </r>
  <r>
    <x v="7"/>
    <x v="29"/>
    <m/>
    <m/>
    <m/>
    <m/>
    <m/>
    <m/>
    <n v="3"/>
    <m/>
    <n v="5"/>
    <m/>
    <n v="3"/>
    <n v="5"/>
    <n v="1"/>
    <n v="3"/>
    <m/>
    <n v="8"/>
    <m/>
  </r>
  <r>
    <x v="7"/>
    <x v="30"/>
    <m/>
    <m/>
    <m/>
    <m/>
    <m/>
    <m/>
    <n v="4"/>
    <m/>
    <n v="5"/>
    <m/>
    <n v="4"/>
    <n v="5"/>
    <m/>
    <n v="4"/>
    <m/>
    <n v="4"/>
    <m/>
  </r>
  <r>
    <x v="7"/>
    <x v="31"/>
    <n v="44"/>
    <m/>
    <n v="1"/>
    <m/>
    <m/>
    <m/>
    <n v="38"/>
    <n v="37"/>
    <n v="1"/>
    <m/>
    <n v="6"/>
    <n v="21"/>
    <n v="6"/>
    <n v="16"/>
    <n v="6"/>
    <n v="12"/>
    <m/>
  </r>
  <r>
    <x v="7"/>
    <x v="32"/>
    <m/>
    <m/>
    <m/>
    <m/>
    <m/>
    <m/>
    <m/>
    <m/>
    <m/>
    <m/>
    <m/>
    <m/>
    <m/>
    <m/>
    <m/>
    <m/>
    <m/>
  </r>
  <r>
    <x v="7"/>
    <x v="33"/>
    <m/>
    <m/>
    <m/>
    <m/>
    <m/>
    <m/>
    <m/>
    <m/>
    <m/>
    <m/>
    <m/>
    <m/>
    <m/>
    <m/>
    <m/>
    <m/>
    <m/>
  </r>
  <r>
    <x v="7"/>
    <x v="34"/>
    <n v="4"/>
    <m/>
    <m/>
    <m/>
    <m/>
    <m/>
    <m/>
    <m/>
    <m/>
    <m/>
    <m/>
    <n v="1"/>
    <n v="1"/>
    <m/>
    <m/>
    <m/>
    <m/>
  </r>
  <r>
    <x v="7"/>
    <x v="35"/>
    <n v="3"/>
    <m/>
    <m/>
    <m/>
    <m/>
    <m/>
    <n v="2"/>
    <n v="3"/>
    <n v="2"/>
    <n v="2"/>
    <n v="5"/>
    <n v="2"/>
    <n v="2"/>
    <n v="4"/>
    <n v="2"/>
    <n v="2"/>
    <m/>
  </r>
  <r>
    <x v="7"/>
    <x v="36"/>
    <m/>
    <m/>
    <m/>
    <m/>
    <m/>
    <m/>
    <n v="3"/>
    <n v="2"/>
    <n v="1"/>
    <m/>
    <n v="1"/>
    <n v="5"/>
    <m/>
    <n v="5"/>
    <m/>
    <m/>
    <m/>
  </r>
  <r>
    <x v="7"/>
    <x v="37"/>
    <m/>
    <m/>
    <m/>
    <m/>
    <m/>
    <m/>
    <m/>
    <m/>
    <m/>
    <m/>
    <m/>
    <m/>
    <m/>
    <m/>
    <m/>
    <m/>
    <m/>
  </r>
  <r>
    <x v="7"/>
    <x v="38"/>
    <m/>
    <m/>
    <m/>
    <m/>
    <m/>
    <m/>
    <m/>
    <m/>
    <m/>
    <m/>
    <m/>
    <m/>
    <m/>
    <m/>
    <m/>
    <m/>
    <m/>
  </r>
  <r>
    <x v="7"/>
    <x v="39"/>
    <m/>
    <m/>
    <m/>
    <m/>
    <m/>
    <m/>
    <n v="3"/>
    <m/>
    <n v="5"/>
    <m/>
    <n v="2"/>
    <n v="5"/>
    <n v="1"/>
    <n v="2"/>
    <m/>
    <n v="7"/>
    <m/>
  </r>
  <r>
    <x v="7"/>
    <x v="40"/>
    <m/>
    <m/>
    <m/>
    <m/>
    <m/>
    <m/>
    <m/>
    <m/>
    <m/>
    <m/>
    <n v="2"/>
    <m/>
    <m/>
    <n v="2"/>
    <n v="1"/>
    <m/>
    <m/>
  </r>
  <r>
    <x v="7"/>
    <x v="41"/>
    <m/>
    <m/>
    <m/>
    <m/>
    <m/>
    <m/>
    <m/>
    <m/>
    <m/>
    <m/>
    <m/>
    <m/>
    <m/>
    <m/>
    <m/>
    <m/>
    <m/>
  </r>
  <r>
    <x v="7"/>
    <x v="42"/>
    <m/>
    <m/>
    <m/>
    <m/>
    <m/>
    <m/>
    <m/>
    <m/>
    <m/>
    <m/>
    <m/>
    <n v="3"/>
    <m/>
    <n v="3"/>
    <m/>
    <m/>
    <m/>
  </r>
  <r>
    <x v="7"/>
    <x v="43"/>
    <m/>
    <m/>
    <m/>
    <m/>
    <m/>
    <m/>
    <m/>
    <m/>
    <m/>
    <m/>
    <m/>
    <m/>
    <m/>
    <m/>
    <m/>
    <m/>
    <m/>
  </r>
  <r>
    <x v="7"/>
    <x v="44"/>
    <m/>
    <m/>
    <m/>
    <m/>
    <m/>
    <m/>
    <m/>
    <m/>
    <m/>
    <m/>
    <m/>
    <m/>
    <m/>
    <m/>
    <m/>
    <m/>
    <m/>
  </r>
  <r>
    <x v="7"/>
    <x v="45"/>
    <m/>
    <m/>
    <m/>
    <m/>
    <m/>
    <m/>
    <m/>
    <m/>
    <m/>
    <m/>
    <m/>
    <m/>
    <m/>
    <m/>
    <m/>
    <m/>
    <m/>
  </r>
  <r>
    <x v="7"/>
    <x v="46"/>
    <m/>
    <m/>
    <m/>
    <m/>
    <m/>
    <m/>
    <m/>
    <m/>
    <m/>
    <m/>
    <m/>
    <m/>
    <m/>
    <m/>
    <m/>
    <m/>
    <m/>
  </r>
  <r>
    <x v="7"/>
    <x v="47"/>
    <m/>
    <m/>
    <m/>
    <m/>
    <m/>
    <m/>
    <m/>
    <m/>
    <m/>
    <m/>
    <m/>
    <m/>
    <m/>
    <m/>
    <m/>
    <m/>
    <m/>
  </r>
  <r>
    <x v="7"/>
    <x v="48"/>
    <m/>
    <m/>
    <m/>
    <m/>
    <m/>
    <m/>
    <m/>
    <m/>
    <m/>
    <m/>
    <m/>
    <m/>
    <m/>
    <m/>
    <m/>
    <m/>
    <m/>
  </r>
  <r>
    <x v="7"/>
    <x v="49"/>
    <m/>
    <m/>
    <m/>
    <m/>
    <m/>
    <m/>
    <m/>
    <m/>
    <m/>
    <m/>
    <m/>
    <n v="2"/>
    <m/>
    <n v="1"/>
    <m/>
    <m/>
    <m/>
  </r>
  <r>
    <x v="7"/>
    <x v="50"/>
    <m/>
    <m/>
    <m/>
    <m/>
    <m/>
    <m/>
    <m/>
    <m/>
    <m/>
    <m/>
    <m/>
    <m/>
    <m/>
    <m/>
    <m/>
    <m/>
    <m/>
  </r>
  <r>
    <x v="7"/>
    <x v="51"/>
    <m/>
    <m/>
    <m/>
    <m/>
    <m/>
    <m/>
    <m/>
    <m/>
    <m/>
    <m/>
    <m/>
    <m/>
    <m/>
    <m/>
    <m/>
    <m/>
    <m/>
  </r>
  <r>
    <x v="7"/>
    <x v="54"/>
    <m/>
    <m/>
    <m/>
    <m/>
    <m/>
    <m/>
    <m/>
    <m/>
    <m/>
    <m/>
    <m/>
    <n v="2"/>
    <m/>
    <n v="2"/>
    <m/>
    <m/>
    <m/>
  </r>
  <r>
    <x v="7"/>
    <x v="55"/>
    <m/>
    <m/>
    <m/>
    <m/>
    <m/>
    <m/>
    <m/>
    <m/>
    <m/>
    <m/>
    <m/>
    <n v="9"/>
    <m/>
    <n v="7"/>
    <m/>
    <n v="9"/>
    <m/>
  </r>
  <r>
    <x v="8"/>
    <x v="0"/>
    <m/>
    <m/>
    <m/>
    <m/>
    <m/>
    <m/>
    <m/>
    <m/>
    <m/>
    <m/>
    <m/>
    <m/>
    <m/>
    <m/>
    <m/>
    <m/>
    <m/>
  </r>
  <r>
    <x v="8"/>
    <x v="1"/>
    <m/>
    <m/>
    <m/>
    <m/>
    <m/>
    <m/>
    <m/>
    <m/>
    <m/>
    <m/>
    <m/>
    <m/>
    <m/>
    <m/>
    <m/>
    <m/>
    <m/>
  </r>
  <r>
    <x v="8"/>
    <x v="2"/>
    <m/>
    <m/>
    <m/>
    <m/>
    <m/>
    <m/>
    <m/>
    <m/>
    <m/>
    <m/>
    <m/>
    <m/>
    <m/>
    <m/>
    <m/>
    <m/>
    <m/>
  </r>
  <r>
    <x v="8"/>
    <x v="3"/>
    <m/>
    <m/>
    <m/>
    <m/>
    <m/>
    <m/>
    <n v="2"/>
    <m/>
    <m/>
    <m/>
    <m/>
    <m/>
    <n v="2"/>
    <n v="5"/>
    <n v="3"/>
    <m/>
    <m/>
  </r>
  <r>
    <x v="8"/>
    <x v="4"/>
    <m/>
    <m/>
    <m/>
    <m/>
    <m/>
    <m/>
    <m/>
    <m/>
    <m/>
    <m/>
    <m/>
    <m/>
    <m/>
    <m/>
    <m/>
    <m/>
    <m/>
  </r>
  <r>
    <x v="8"/>
    <x v="5"/>
    <m/>
    <m/>
    <m/>
    <m/>
    <m/>
    <m/>
    <m/>
    <m/>
    <m/>
    <m/>
    <m/>
    <m/>
    <m/>
    <m/>
    <m/>
    <m/>
    <m/>
  </r>
  <r>
    <x v="8"/>
    <x v="6"/>
    <m/>
    <m/>
    <m/>
    <m/>
    <m/>
    <m/>
    <m/>
    <m/>
    <m/>
    <m/>
    <m/>
    <m/>
    <m/>
    <m/>
    <m/>
    <m/>
    <m/>
  </r>
  <r>
    <x v="8"/>
    <x v="7"/>
    <m/>
    <m/>
    <m/>
    <m/>
    <m/>
    <m/>
    <m/>
    <m/>
    <m/>
    <m/>
    <m/>
    <m/>
    <m/>
    <m/>
    <m/>
    <m/>
    <m/>
  </r>
  <r>
    <x v="8"/>
    <x v="8"/>
    <m/>
    <m/>
    <m/>
    <m/>
    <m/>
    <m/>
    <m/>
    <m/>
    <m/>
    <m/>
    <m/>
    <m/>
    <m/>
    <m/>
    <m/>
    <m/>
    <m/>
  </r>
  <r>
    <x v="8"/>
    <x v="9"/>
    <m/>
    <m/>
    <m/>
    <m/>
    <m/>
    <m/>
    <m/>
    <m/>
    <m/>
    <m/>
    <m/>
    <m/>
    <m/>
    <m/>
    <m/>
    <m/>
    <m/>
  </r>
  <r>
    <x v="8"/>
    <x v="10"/>
    <m/>
    <m/>
    <m/>
    <m/>
    <m/>
    <m/>
    <m/>
    <m/>
    <m/>
    <m/>
    <m/>
    <m/>
    <m/>
    <m/>
    <m/>
    <m/>
    <m/>
  </r>
  <r>
    <x v="8"/>
    <x v="11"/>
    <m/>
    <m/>
    <m/>
    <m/>
    <m/>
    <m/>
    <m/>
    <m/>
    <m/>
    <m/>
    <m/>
    <m/>
    <m/>
    <m/>
    <m/>
    <m/>
    <m/>
  </r>
  <r>
    <x v="8"/>
    <x v="12"/>
    <m/>
    <m/>
    <m/>
    <m/>
    <m/>
    <m/>
    <m/>
    <m/>
    <m/>
    <m/>
    <n v="3"/>
    <m/>
    <m/>
    <m/>
    <m/>
    <m/>
    <m/>
  </r>
  <r>
    <x v="8"/>
    <x v="13"/>
    <m/>
    <m/>
    <m/>
    <m/>
    <m/>
    <m/>
    <m/>
    <m/>
    <m/>
    <m/>
    <m/>
    <m/>
    <m/>
    <m/>
    <m/>
    <m/>
    <m/>
  </r>
  <r>
    <x v="8"/>
    <x v="14"/>
    <m/>
    <m/>
    <m/>
    <m/>
    <m/>
    <m/>
    <m/>
    <m/>
    <m/>
    <m/>
    <n v="6"/>
    <n v="8"/>
    <m/>
    <n v="2"/>
    <n v="4"/>
    <m/>
    <m/>
  </r>
  <r>
    <x v="8"/>
    <x v="15"/>
    <m/>
    <m/>
    <m/>
    <m/>
    <m/>
    <m/>
    <m/>
    <m/>
    <m/>
    <m/>
    <m/>
    <m/>
    <m/>
    <n v="2"/>
    <m/>
    <m/>
    <m/>
  </r>
  <r>
    <x v="8"/>
    <x v="16"/>
    <m/>
    <m/>
    <m/>
    <m/>
    <m/>
    <m/>
    <m/>
    <m/>
    <m/>
    <m/>
    <m/>
    <m/>
    <m/>
    <m/>
    <m/>
    <m/>
    <m/>
  </r>
  <r>
    <x v="8"/>
    <x v="17"/>
    <m/>
    <m/>
    <m/>
    <m/>
    <m/>
    <m/>
    <m/>
    <m/>
    <m/>
    <m/>
    <m/>
    <m/>
    <m/>
    <m/>
    <m/>
    <m/>
    <m/>
  </r>
  <r>
    <x v="8"/>
    <x v="18"/>
    <m/>
    <m/>
    <m/>
    <m/>
    <m/>
    <m/>
    <m/>
    <m/>
    <m/>
    <m/>
    <m/>
    <m/>
    <m/>
    <m/>
    <m/>
    <m/>
    <m/>
  </r>
  <r>
    <x v="8"/>
    <x v="19"/>
    <m/>
    <m/>
    <m/>
    <m/>
    <m/>
    <m/>
    <m/>
    <m/>
    <m/>
    <m/>
    <m/>
    <m/>
    <m/>
    <m/>
    <m/>
    <m/>
    <m/>
  </r>
  <r>
    <x v="8"/>
    <x v="20"/>
    <m/>
    <m/>
    <m/>
    <m/>
    <m/>
    <m/>
    <n v="5"/>
    <m/>
    <m/>
    <m/>
    <m/>
    <m/>
    <m/>
    <m/>
    <m/>
    <m/>
    <m/>
  </r>
  <r>
    <x v="8"/>
    <x v="21"/>
    <m/>
    <m/>
    <m/>
    <m/>
    <m/>
    <m/>
    <m/>
    <m/>
    <m/>
    <m/>
    <m/>
    <m/>
    <m/>
    <m/>
    <m/>
    <m/>
    <m/>
  </r>
  <r>
    <x v="8"/>
    <x v="22"/>
    <m/>
    <m/>
    <m/>
    <m/>
    <m/>
    <m/>
    <m/>
    <m/>
    <m/>
    <m/>
    <m/>
    <m/>
    <m/>
    <m/>
    <m/>
    <m/>
    <m/>
  </r>
  <r>
    <x v="8"/>
    <x v="23"/>
    <m/>
    <m/>
    <m/>
    <m/>
    <m/>
    <m/>
    <m/>
    <m/>
    <m/>
    <m/>
    <m/>
    <m/>
    <n v="2"/>
    <n v="4"/>
    <m/>
    <m/>
    <m/>
  </r>
  <r>
    <x v="8"/>
    <x v="24"/>
    <m/>
    <m/>
    <m/>
    <m/>
    <m/>
    <m/>
    <m/>
    <m/>
    <m/>
    <m/>
    <m/>
    <m/>
    <m/>
    <m/>
    <m/>
    <m/>
    <m/>
  </r>
  <r>
    <x v="8"/>
    <x v="25"/>
    <m/>
    <m/>
    <m/>
    <m/>
    <m/>
    <m/>
    <n v="5"/>
    <m/>
    <m/>
    <m/>
    <m/>
    <m/>
    <m/>
    <m/>
    <m/>
    <n v="5"/>
    <m/>
  </r>
  <r>
    <x v="8"/>
    <x v="26"/>
    <m/>
    <m/>
    <m/>
    <m/>
    <m/>
    <m/>
    <n v="15"/>
    <m/>
    <m/>
    <m/>
    <n v="6"/>
    <m/>
    <m/>
    <m/>
    <m/>
    <n v="5"/>
    <m/>
  </r>
  <r>
    <x v="8"/>
    <x v="27"/>
    <m/>
    <m/>
    <m/>
    <m/>
    <m/>
    <m/>
    <m/>
    <m/>
    <m/>
    <m/>
    <m/>
    <m/>
    <m/>
    <m/>
    <m/>
    <m/>
    <m/>
  </r>
  <r>
    <x v="8"/>
    <x v="28"/>
    <m/>
    <m/>
    <m/>
    <m/>
    <m/>
    <m/>
    <m/>
    <m/>
    <m/>
    <m/>
    <m/>
    <m/>
    <m/>
    <m/>
    <m/>
    <m/>
    <m/>
  </r>
  <r>
    <x v="8"/>
    <x v="29"/>
    <m/>
    <m/>
    <m/>
    <m/>
    <m/>
    <m/>
    <m/>
    <m/>
    <m/>
    <m/>
    <m/>
    <m/>
    <n v="2"/>
    <n v="4"/>
    <m/>
    <m/>
    <m/>
  </r>
  <r>
    <x v="8"/>
    <x v="30"/>
    <m/>
    <m/>
    <m/>
    <m/>
    <m/>
    <m/>
    <m/>
    <m/>
    <m/>
    <m/>
    <n v="2"/>
    <m/>
    <m/>
    <m/>
    <m/>
    <m/>
    <m/>
  </r>
  <r>
    <x v="8"/>
    <x v="31"/>
    <m/>
    <m/>
    <m/>
    <m/>
    <m/>
    <m/>
    <n v="58"/>
    <m/>
    <n v="3"/>
    <m/>
    <n v="8"/>
    <n v="13"/>
    <m/>
    <n v="1"/>
    <n v="34"/>
    <n v="38"/>
    <m/>
  </r>
  <r>
    <x v="8"/>
    <x v="32"/>
    <m/>
    <m/>
    <m/>
    <m/>
    <m/>
    <m/>
    <m/>
    <m/>
    <m/>
    <m/>
    <m/>
    <m/>
    <m/>
    <m/>
    <m/>
    <m/>
    <m/>
  </r>
  <r>
    <x v="8"/>
    <x v="33"/>
    <m/>
    <m/>
    <m/>
    <m/>
    <m/>
    <m/>
    <m/>
    <m/>
    <m/>
    <m/>
    <m/>
    <m/>
    <m/>
    <m/>
    <m/>
    <m/>
    <m/>
  </r>
  <r>
    <x v="8"/>
    <x v="34"/>
    <m/>
    <m/>
    <m/>
    <m/>
    <m/>
    <m/>
    <m/>
    <m/>
    <m/>
    <m/>
    <m/>
    <m/>
    <m/>
    <m/>
    <m/>
    <m/>
    <m/>
  </r>
  <r>
    <x v="8"/>
    <x v="35"/>
    <m/>
    <m/>
    <m/>
    <m/>
    <m/>
    <m/>
    <n v="6"/>
    <m/>
    <m/>
    <m/>
    <n v="5"/>
    <m/>
    <n v="2"/>
    <n v="2"/>
    <n v="2"/>
    <m/>
    <m/>
  </r>
  <r>
    <x v="8"/>
    <x v="36"/>
    <m/>
    <m/>
    <m/>
    <m/>
    <m/>
    <m/>
    <n v="5"/>
    <m/>
    <m/>
    <m/>
    <m/>
    <m/>
    <n v="1"/>
    <m/>
    <n v="1"/>
    <n v="5"/>
    <m/>
  </r>
  <r>
    <x v="8"/>
    <x v="37"/>
    <m/>
    <m/>
    <m/>
    <m/>
    <m/>
    <m/>
    <m/>
    <m/>
    <m/>
    <m/>
    <m/>
    <m/>
    <m/>
    <m/>
    <m/>
    <m/>
    <m/>
  </r>
  <r>
    <x v="8"/>
    <x v="38"/>
    <m/>
    <m/>
    <m/>
    <m/>
    <m/>
    <m/>
    <m/>
    <m/>
    <m/>
    <m/>
    <m/>
    <m/>
    <m/>
    <m/>
    <m/>
    <m/>
    <m/>
  </r>
  <r>
    <x v="8"/>
    <x v="39"/>
    <m/>
    <m/>
    <m/>
    <m/>
    <m/>
    <m/>
    <m/>
    <m/>
    <m/>
    <m/>
    <m/>
    <m/>
    <m/>
    <m/>
    <m/>
    <m/>
    <m/>
  </r>
  <r>
    <x v="8"/>
    <x v="40"/>
    <m/>
    <m/>
    <m/>
    <m/>
    <m/>
    <m/>
    <m/>
    <m/>
    <m/>
    <m/>
    <m/>
    <m/>
    <m/>
    <m/>
    <m/>
    <m/>
    <m/>
  </r>
  <r>
    <x v="8"/>
    <x v="41"/>
    <m/>
    <m/>
    <m/>
    <m/>
    <m/>
    <m/>
    <m/>
    <m/>
    <m/>
    <m/>
    <m/>
    <m/>
    <m/>
    <m/>
    <m/>
    <m/>
    <m/>
  </r>
  <r>
    <x v="8"/>
    <x v="42"/>
    <m/>
    <m/>
    <m/>
    <m/>
    <m/>
    <m/>
    <n v="65"/>
    <m/>
    <m/>
    <m/>
    <n v="12"/>
    <n v="9"/>
    <m/>
    <n v="5"/>
    <n v="2"/>
    <n v="5"/>
    <m/>
  </r>
  <r>
    <x v="8"/>
    <x v="43"/>
    <m/>
    <m/>
    <m/>
    <m/>
    <m/>
    <m/>
    <m/>
    <m/>
    <m/>
    <m/>
    <m/>
    <m/>
    <m/>
    <m/>
    <m/>
    <m/>
    <m/>
  </r>
  <r>
    <x v="8"/>
    <x v="44"/>
    <m/>
    <m/>
    <m/>
    <m/>
    <m/>
    <m/>
    <m/>
    <m/>
    <m/>
    <m/>
    <m/>
    <m/>
    <m/>
    <m/>
    <m/>
    <m/>
    <m/>
  </r>
  <r>
    <x v="8"/>
    <x v="45"/>
    <m/>
    <m/>
    <m/>
    <m/>
    <m/>
    <m/>
    <m/>
    <m/>
    <m/>
    <m/>
    <m/>
    <m/>
    <m/>
    <m/>
    <m/>
    <m/>
    <m/>
  </r>
  <r>
    <x v="8"/>
    <x v="46"/>
    <m/>
    <m/>
    <m/>
    <m/>
    <m/>
    <m/>
    <m/>
    <m/>
    <m/>
    <m/>
    <m/>
    <m/>
    <m/>
    <m/>
    <m/>
    <m/>
    <m/>
  </r>
  <r>
    <x v="8"/>
    <x v="47"/>
    <m/>
    <m/>
    <m/>
    <m/>
    <m/>
    <m/>
    <n v="2"/>
    <m/>
    <n v="2"/>
    <m/>
    <m/>
    <m/>
    <n v="2"/>
    <n v="1"/>
    <m/>
    <n v="2"/>
    <m/>
  </r>
  <r>
    <x v="8"/>
    <x v="48"/>
    <m/>
    <m/>
    <m/>
    <m/>
    <m/>
    <m/>
    <m/>
    <m/>
    <m/>
    <m/>
    <m/>
    <m/>
    <m/>
    <m/>
    <m/>
    <m/>
    <m/>
  </r>
  <r>
    <x v="8"/>
    <x v="49"/>
    <m/>
    <m/>
    <m/>
    <m/>
    <m/>
    <m/>
    <m/>
    <m/>
    <m/>
    <m/>
    <m/>
    <m/>
    <m/>
    <m/>
    <m/>
    <m/>
    <m/>
  </r>
  <r>
    <x v="8"/>
    <x v="50"/>
    <m/>
    <m/>
    <m/>
    <m/>
    <m/>
    <m/>
    <n v="5"/>
    <m/>
    <m/>
    <m/>
    <m/>
    <m/>
    <m/>
    <m/>
    <m/>
    <n v="5"/>
    <m/>
  </r>
  <r>
    <x v="8"/>
    <x v="51"/>
    <m/>
    <m/>
    <m/>
    <m/>
    <m/>
    <m/>
    <n v="1"/>
    <m/>
    <m/>
    <n v="2"/>
    <n v="4"/>
    <n v="6"/>
    <m/>
    <n v="1"/>
    <n v="1"/>
    <m/>
    <m/>
  </r>
  <r>
    <x v="9"/>
    <x v="0"/>
    <m/>
    <m/>
    <m/>
    <m/>
    <m/>
    <m/>
    <m/>
    <m/>
    <m/>
    <m/>
    <m/>
    <m/>
    <m/>
    <m/>
    <m/>
    <m/>
    <m/>
  </r>
  <r>
    <x v="9"/>
    <x v="1"/>
    <m/>
    <m/>
    <m/>
    <m/>
    <m/>
    <m/>
    <m/>
    <m/>
    <m/>
    <m/>
    <m/>
    <m/>
    <m/>
    <m/>
    <m/>
    <m/>
    <m/>
  </r>
  <r>
    <x v="9"/>
    <x v="2"/>
    <m/>
    <m/>
    <m/>
    <m/>
    <m/>
    <m/>
    <m/>
    <m/>
    <m/>
    <m/>
    <m/>
    <m/>
    <m/>
    <m/>
    <m/>
    <m/>
    <m/>
  </r>
  <r>
    <x v="9"/>
    <x v="3"/>
    <m/>
    <m/>
    <m/>
    <m/>
    <m/>
    <m/>
    <m/>
    <m/>
    <m/>
    <m/>
    <m/>
    <m/>
    <m/>
    <m/>
    <m/>
    <m/>
    <m/>
  </r>
  <r>
    <x v="9"/>
    <x v="4"/>
    <m/>
    <m/>
    <m/>
    <m/>
    <m/>
    <m/>
    <m/>
    <m/>
    <m/>
    <m/>
    <m/>
    <m/>
    <m/>
    <m/>
    <m/>
    <m/>
    <m/>
  </r>
  <r>
    <x v="9"/>
    <x v="5"/>
    <m/>
    <m/>
    <m/>
    <m/>
    <m/>
    <m/>
    <m/>
    <m/>
    <m/>
    <m/>
    <m/>
    <m/>
    <m/>
    <m/>
    <m/>
    <m/>
    <m/>
  </r>
  <r>
    <x v="9"/>
    <x v="6"/>
    <m/>
    <m/>
    <m/>
    <m/>
    <m/>
    <m/>
    <m/>
    <m/>
    <m/>
    <m/>
    <m/>
    <m/>
    <m/>
    <m/>
    <m/>
    <m/>
    <m/>
  </r>
  <r>
    <x v="9"/>
    <x v="7"/>
    <m/>
    <m/>
    <m/>
    <m/>
    <m/>
    <m/>
    <m/>
    <m/>
    <m/>
    <m/>
    <m/>
    <m/>
    <m/>
    <m/>
    <m/>
    <m/>
    <m/>
  </r>
  <r>
    <x v="9"/>
    <x v="8"/>
    <m/>
    <m/>
    <m/>
    <m/>
    <m/>
    <m/>
    <m/>
    <m/>
    <m/>
    <m/>
    <m/>
    <m/>
    <m/>
    <m/>
    <m/>
    <m/>
    <m/>
  </r>
  <r>
    <x v="9"/>
    <x v="9"/>
    <m/>
    <m/>
    <m/>
    <m/>
    <m/>
    <m/>
    <m/>
    <m/>
    <m/>
    <m/>
    <m/>
    <m/>
    <m/>
    <m/>
    <m/>
    <m/>
    <m/>
  </r>
  <r>
    <x v="9"/>
    <x v="10"/>
    <m/>
    <m/>
    <m/>
    <m/>
    <m/>
    <m/>
    <m/>
    <m/>
    <m/>
    <m/>
    <m/>
    <m/>
    <m/>
    <m/>
    <m/>
    <m/>
    <m/>
  </r>
  <r>
    <x v="9"/>
    <x v="11"/>
    <m/>
    <m/>
    <m/>
    <m/>
    <m/>
    <m/>
    <m/>
    <m/>
    <m/>
    <m/>
    <m/>
    <m/>
    <m/>
    <m/>
    <m/>
    <m/>
    <m/>
  </r>
  <r>
    <x v="9"/>
    <x v="12"/>
    <m/>
    <m/>
    <m/>
    <m/>
    <m/>
    <m/>
    <m/>
    <m/>
    <m/>
    <m/>
    <m/>
    <m/>
    <m/>
    <m/>
    <m/>
    <m/>
    <m/>
  </r>
  <r>
    <x v="9"/>
    <x v="13"/>
    <m/>
    <m/>
    <m/>
    <m/>
    <m/>
    <m/>
    <m/>
    <m/>
    <m/>
    <m/>
    <m/>
    <m/>
    <m/>
    <m/>
    <m/>
    <m/>
    <m/>
  </r>
  <r>
    <x v="9"/>
    <x v="14"/>
    <m/>
    <m/>
    <m/>
    <m/>
    <m/>
    <m/>
    <m/>
    <m/>
    <m/>
    <m/>
    <m/>
    <m/>
    <m/>
    <m/>
    <m/>
    <m/>
    <m/>
  </r>
  <r>
    <x v="9"/>
    <x v="15"/>
    <m/>
    <m/>
    <m/>
    <m/>
    <m/>
    <m/>
    <m/>
    <m/>
    <m/>
    <m/>
    <m/>
    <m/>
    <m/>
    <m/>
    <m/>
    <m/>
    <m/>
  </r>
  <r>
    <x v="9"/>
    <x v="16"/>
    <m/>
    <m/>
    <m/>
    <m/>
    <m/>
    <m/>
    <m/>
    <m/>
    <m/>
    <m/>
    <m/>
    <m/>
    <m/>
    <m/>
    <m/>
    <m/>
    <m/>
  </r>
  <r>
    <x v="9"/>
    <x v="17"/>
    <m/>
    <m/>
    <m/>
    <m/>
    <m/>
    <m/>
    <m/>
    <m/>
    <m/>
    <m/>
    <m/>
    <m/>
    <m/>
    <m/>
    <m/>
    <m/>
    <m/>
  </r>
  <r>
    <x v="9"/>
    <x v="18"/>
    <m/>
    <m/>
    <m/>
    <m/>
    <m/>
    <m/>
    <m/>
    <m/>
    <m/>
    <m/>
    <m/>
    <m/>
    <m/>
    <m/>
    <m/>
    <m/>
    <m/>
  </r>
  <r>
    <x v="9"/>
    <x v="19"/>
    <m/>
    <m/>
    <m/>
    <m/>
    <m/>
    <m/>
    <m/>
    <m/>
    <m/>
    <m/>
    <m/>
    <m/>
    <m/>
    <m/>
    <m/>
    <m/>
    <m/>
  </r>
  <r>
    <x v="9"/>
    <x v="20"/>
    <m/>
    <m/>
    <m/>
    <m/>
    <m/>
    <m/>
    <m/>
    <m/>
    <m/>
    <m/>
    <m/>
    <m/>
    <m/>
    <m/>
    <m/>
    <m/>
    <m/>
  </r>
  <r>
    <x v="9"/>
    <x v="21"/>
    <m/>
    <m/>
    <m/>
    <m/>
    <m/>
    <m/>
    <m/>
    <m/>
    <m/>
    <m/>
    <m/>
    <m/>
    <m/>
    <m/>
    <m/>
    <m/>
    <m/>
  </r>
  <r>
    <x v="9"/>
    <x v="22"/>
    <m/>
    <m/>
    <m/>
    <m/>
    <m/>
    <m/>
    <m/>
    <m/>
    <m/>
    <m/>
    <m/>
    <m/>
    <m/>
    <m/>
    <m/>
    <m/>
    <m/>
  </r>
  <r>
    <x v="9"/>
    <x v="23"/>
    <m/>
    <m/>
    <m/>
    <m/>
    <m/>
    <m/>
    <m/>
    <m/>
    <m/>
    <m/>
    <m/>
    <m/>
    <m/>
    <m/>
    <m/>
    <m/>
    <m/>
  </r>
  <r>
    <x v="9"/>
    <x v="24"/>
    <m/>
    <m/>
    <m/>
    <m/>
    <m/>
    <m/>
    <m/>
    <m/>
    <m/>
    <m/>
    <m/>
    <m/>
    <m/>
    <m/>
    <m/>
    <m/>
    <m/>
  </r>
  <r>
    <x v="9"/>
    <x v="25"/>
    <m/>
    <m/>
    <m/>
    <m/>
    <m/>
    <m/>
    <m/>
    <m/>
    <m/>
    <m/>
    <m/>
    <m/>
    <m/>
    <m/>
    <m/>
    <m/>
    <m/>
  </r>
  <r>
    <x v="9"/>
    <x v="26"/>
    <m/>
    <m/>
    <m/>
    <m/>
    <m/>
    <m/>
    <m/>
    <m/>
    <m/>
    <m/>
    <m/>
    <m/>
    <m/>
    <m/>
    <m/>
    <m/>
    <m/>
  </r>
  <r>
    <x v="9"/>
    <x v="27"/>
    <m/>
    <m/>
    <m/>
    <m/>
    <m/>
    <m/>
    <m/>
    <m/>
    <m/>
    <m/>
    <m/>
    <m/>
    <m/>
    <m/>
    <m/>
    <m/>
    <m/>
  </r>
  <r>
    <x v="9"/>
    <x v="28"/>
    <m/>
    <m/>
    <m/>
    <m/>
    <m/>
    <m/>
    <m/>
    <m/>
    <m/>
    <m/>
    <m/>
    <m/>
    <m/>
    <m/>
    <m/>
    <m/>
    <m/>
  </r>
  <r>
    <x v="9"/>
    <x v="29"/>
    <m/>
    <m/>
    <m/>
    <m/>
    <m/>
    <m/>
    <m/>
    <m/>
    <m/>
    <m/>
    <m/>
    <m/>
    <m/>
    <m/>
    <m/>
    <m/>
    <m/>
  </r>
  <r>
    <x v="9"/>
    <x v="30"/>
    <m/>
    <m/>
    <m/>
    <m/>
    <m/>
    <m/>
    <m/>
    <m/>
    <m/>
    <m/>
    <m/>
    <m/>
    <m/>
    <m/>
    <m/>
    <m/>
    <m/>
  </r>
  <r>
    <x v="9"/>
    <x v="31"/>
    <m/>
    <m/>
    <m/>
    <m/>
    <m/>
    <m/>
    <m/>
    <n v="1"/>
    <n v="1"/>
    <m/>
    <m/>
    <n v="1"/>
    <m/>
    <m/>
    <n v="1"/>
    <n v="4"/>
    <m/>
  </r>
  <r>
    <x v="9"/>
    <x v="32"/>
    <m/>
    <m/>
    <m/>
    <m/>
    <m/>
    <m/>
    <m/>
    <m/>
    <m/>
    <m/>
    <m/>
    <m/>
    <m/>
    <m/>
    <m/>
    <m/>
    <m/>
  </r>
  <r>
    <x v="9"/>
    <x v="33"/>
    <m/>
    <m/>
    <m/>
    <m/>
    <m/>
    <m/>
    <m/>
    <m/>
    <m/>
    <m/>
    <m/>
    <m/>
    <m/>
    <m/>
    <m/>
    <m/>
    <m/>
  </r>
  <r>
    <x v="9"/>
    <x v="34"/>
    <m/>
    <m/>
    <m/>
    <m/>
    <m/>
    <m/>
    <m/>
    <m/>
    <m/>
    <m/>
    <m/>
    <m/>
    <m/>
    <m/>
    <m/>
    <m/>
    <m/>
  </r>
  <r>
    <x v="9"/>
    <x v="35"/>
    <m/>
    <m/>
    <m/>
    <m/>
    <m/>
    <m/>
    <m/>
    <m/>
    <m/>
    <m/>
    <m/>
    <m/>
    <m/>
    <m/>
    <m/>
    <m/>
    <m/>
  </r>
  <r>
    <x v="9"/>
    <x v="36"/>
    <m/>
    <m/>
    <m/>
    <m/>
    <m/>
    <m/>
    <m/>
    <m/>
    <m/>
    <m/>
    <m/>
    <m/>
    <m/>
    <m/>
    <m/>
    <m/>
    <m/>
  </r>
  <r>
    <x v="9"/>
    <x v="37"/>
    <m/>
    <m/>
    <m/>
    <m/>
    <m/>
    <m/>
    <m/>
    <m/>
    <m/>
    <m/>
    <m/>
    <m/>
    <m/>
    <m/>
    <m/>
    <m/>
    <m/>
  </r>
  <r>
    <x v="9"/>
    <x v="38"/>
    <m/>
    <m/>
    <m/>
    <m/>
    <m/>
    <m/>
    <m/>
    <m/>
    <m/>
    <m/>
    <m/>
    <m/>
    <m/>
    <m/>
    <m/>
    <m/>
    <m/>
  </r>
  <r>
    <x v="9"/>
    <x v="39"/>
    <m/>
    <m/>
    <m/>
    <m/>
    <m/>
    <m/>
    <m/>
    <m/>
    <m/>
    <m/>
    <m/>
    <m/>
    <m/>
    <m/>
    <m/>
    <m/>
    <m/>
  </r>
  <r>
    <x v="9"/>
    <x v="40"/>
    <m/>
    <m/>
    <m/>
    <m/>
    <m/>
    <m/>
    <m/>
    <m/>
    <m/>
    <m/>
    <m/>
    <m/>
    <m/>
    <m/>
    <m/>
    <m/>
    <m/>
  </r>
  <r>
    <x v="9"/>
    <x v="41"/>
    <m/>
    <m/>
    <m/>
    <m/>
    <m/>
    <m/>
    <m/>
    <m/>
    <m/>
    <m/>
    <m/>
    <m/>
    <m/>
    <m/>
    <m/>
    <m/>
    <m/>
  </r>
  <r>
    <x v="9"/>
    <x v="42"/>
    <m/>
    <m/>
    <m/>
    <m/>
    <m/>
    <m/>
    <m/>
    <m/>
    <m/>
    <m/>
    <m/>
    <m/>
    <m/>
    <m/>
    <m/>
    <m/>
    <m/>
  </r>
  <r>
    <x v="9"/>
    <x v="43"/>
    <m/>
    <m/>
    <m/>
    <m/>
    <m/>
    <m/>
    <m/>
    <m/>
    <m/>
    <m/>
    <m/>
    <m/>
    <m/>
    <m/>
    <m/>
    <m/>
    <m/>
  </r>
  <r>
    <x v="9"/>
    <x v="44"/>
    <m/>
    <m/>
    <m/>
    <m/>
    <m/>
    <m/>
    <m/>
    <m/>
    <m/>
    <m/>
    <m/>
    <m/>
    <m/>
    <m/>
    <m/>
    <m/>
    <m/>
  </r>
  <r>
    <x v="9"/>
    <x v="45"/>
    <m/>
    <m/>
    <m/>
    <m/>
    <m/>
    <m/>
    <m/>
    <m/>
    <m/>
    <m/>
    <m/>
    <m/>
    <m/>
    <m/>
    <m/>
    <m/>
    <m/>
  </r>
  <r>
    <x v="9"/>
    <x v="46"/>
    <m/>
    <m/>
    <m/>
    <m/>
    <m/>
    <m/>
    <m/>
    <m/>
    <m/>
    <m/>
    <m/>
    <m/>
    <m/>
    <m/>
    <m/>
    <m/>
    <m/>
  </r>
  <r>
    <x v="9"/>
    <x v="47"/>
    <m/>
    <m/>
    <m/>
    <m/>
    <m/>
    <m/>
    <m/>
    <m/>
    <m/>
    <m/>
    <m/>
    <m/>
    <m/>
    <m/>
    <m/>
    <m/>
    <m/>
  </r>
  <r>
    <x v="9"/>
    <x v="48"/>
    <m/>
    <m/>
    <m/>
    <m/>
    <m/>
    <m/>
    <m/>
    <m/>
    <m/>
    <m/>
    <m/>
    <m/>
    <m/>
    <m/>
    <m/>
    <m/>
    <m/>
  </r>
  <r>
    <x v="9"/>
    <x v="49"/>
    <m/>
    <m/>
    <m/>
    <m/>
    <m/>
    <m/>
    <m/>
    <m/>
    <m/>
    <m/>
    <m/>
    <m/>
    <m/>
    <m/>
    <m/>
    <m/>
    <m/>
  </r>
  <r>
    <x v="9"/>
    <x v="50"/>
    <m/>
    <m/>
    <m/>
    <m/>
    <m/>
    <m/>
    <m/>
    <m/>
    <m/>
    <m/>
    <m/>
    <m/>
    <m/>
    <m/>
    <m/>
    <m/>
    <m/>
  </r>
  <r>
    <x v="9"/>
    <x v="51"/>
    <m/>
    <m/>
    <m/>
    <m/>
    <m/>
    <m/>
    <m/>
    <m/>
    <m/>
    <m/>
    <m/>
    <m/>
    <m/>
    <m/>
    <m/>
    <m/>
    <m/>
  </r>
  <r>
    <x v="10"/>
    <x v="0"/>
    <m/>
    <m/>
    <m/>
    <m/>
    <m/>
    <m/>
    <m/>
    <m/>
    <m/>
    <m/>
    <m/>
    <m/>
    <m/>
    <m/>
    <m/>
    <m/>
    <m/>
  </r>
  <r>
    <x v="10"/>
    <x v="1"/>
    <n v="1"/>
    <m/>
    <n v="1"/>
    <m/>
    <n v="1"/>
    <m/>
    <m/>
    <m/>
    <m/>
    <m/>
    <m/>
    <n v="3"/>
    <m/>
    <n v="1"/>
    <m/>
    <m/>
    <m/>
  </r>
  <r>
    <x v="10"/>
    <x v="2"/>
    <m/>
    <m/>
    <m/>
    <m/>
    <m/>
    <m/>
    <m/>
    <m/>
    <m/>
    <m/>
    <m/>
    <m/>
    <m/>
    <m/>
    <m/>
    <m/>
    <m/>
  </r>
  <r>
    <x v="10"/>
    <x v="3"/>
    <m/>
    <m/>
    <m/>
    <m/>
    <m/>
    <m/>
    <m/>
    <m/>
    <m/>
    <m/>
    <m/>
    <m/>
    <m/>
    <m/>
    <m/>
    <m/>
    <m/>
  </r>
  <r>
    <x v="10"/>
    <x v="4"/>
    <m/>
    <m/>
    <m/>
    <m/>
    <m/>
    <m/>
    <m/>
    <m/>
    <m/>
    <m/>
    <m/>
    <n v="2"/>
    <m/>
    <n v="3"/>
    <m/>
    <m/>
    <m/>
  </r>
  <r>
    <x v="10"/>
    <x v="5"/>
    <m/>
    <m/>
    <m/>
    <m/>
    <m/>
    <m/>
    <m/>
    <m/>
    <m/>
    <m/>
    <m/>
    <m/>
    <m/>
    <m/>
    <m/>
    <m/>
    <m/>
  </r>
  <r>
    <x v="10"/>
    <x v="6"/>
    <m/>
    <m/>
    <m/>
    <m/>
    <m/>
    <m/>
    <m/>
    <m/>
    <m/>
    <m/>
    <m/>
    <m/>
    <m/>
    <m/>
    <m/>
    <m/>
    <m/>
  </r>
  <r>
    <x v="10"/>
    <x v="7"/>
    <m/>
    <m/>
    <m/>
    <m/>
    <m/>
    <m/>
    <m/>
    <m/>
    <m/>
    <m/>
    <m/>
    <m/>
    <m/>
    <m/>
    <m/>
    <m/>
    <m/>
  </r>
  <r>
    <x v="10"/>
    <x v="8"/>
    <m/>
    <m/>
    <m/>
    <m/>
    <m/>
    <m/>
    <m/>
    <n v="2"/>
    <m/>
    <m/>
    <m/>
    <n v="6"/>
    <m/>
    <n v="6"/>
    <m/>
    <m/>
    <m/>
  </r>
  <r>
    <x v="10"/>
    <x v="9"/>
    <m/>
    <m/>
    <m/>
    <m/>
    <m/>
    <m/>
    <m/>
    <m/>
    <m/>
    <m/>
    <m/>
    <m/>
    <m/>
    <m/>
    <m/>
    <m/>
    <m/>
  </r>
  <r>
    <x v="10"/>
    <x v="10"/>
    <m/>
    <m/>
    <m/>
    <m/>
    <m/>
    <m/>
    <m/>
    <m/>
    <m/>
    <m/>
    <m/>
    <m/>
    <m/>
    <m/>
    <m/>
    <m/>
    <m/>
  </r>
  <r>
    <x v="10"/>
    <x v="11"/>
    <m/>
    <m/>
    <m/>
    <m/>
    <m/>
    <m/>
    <m/>
    <m/>
    <m/>
    <m/>
    <m/>
    <m/>
    <m/>
    <m/>
    <m/>
    <m/>
    <m/>
  </r>
  <r>
    <x v="10"/>
    <x v="12"/>
    <m/>
    <m/>
    <m/>
    <m/>
    <m/>
    <m/>
    <m/>
    <m/>
    <m/>
    <m/>
    <m/>
    <n v="2"/>
    <m/>
    <n v="2"/>
    <m/>
    <m/>
    <m/>
  </r>
  <r>
    <x v="10"/>
    <x v="13"/>
    <m/>
    <m/>
    <m/>
    <m/>
    <m/>
    <m/>
    <m/>
    <m/>
    <m/>
    <m/>
    <m/>
    <m/>
    <m/>
    <m/>
    <m/>
    <m/>
    <m/>
  </r>
  <r>
    <x v="10"/>
    <x v="14"/>
    <m/>
    <m/>
    <m/>
    <m/>
    <m/>
    <m/>
    <m/>
    <m/>
    <m/>
    <m/>
    <m/>
    <m/>
    <m/>
    <m/>
    <m/>
    <m/>
    <m/>
  </r>
  <r>
    <x v="10"/>
    <x v="15"/>
    <n v="7"/>
    <m/>
    <n v="5"/>
    <m/>
    <n v="5"/>
    <m/>
    <m/>
    <m/>
    <m/>
    <m/>
    <m/>
    <n v="7"/>
    <m/>
    <n v="4"/>
    <m/>
    <m/>
    <m/>
  </r>
  <r>
    <x v="10"/>
    <x v="16"/>
    <m/>
    <m/>
    <m/>
    <m/>
    <m/>
    <m/>
    <m/>
    <m/>
    <m/>
    <m/>
    <m/>
    <m/>
    <m/>
    <m/>
    <m/>
    <m/>
    <m/>
  </r>
  <r>
    <x v="10"/>
    <x v="17"/>
    <m/>
    <m/>
    <m/>
    <m/>
    <m/>
    <m/>
    <m/>
    <m/>
    <m/>
    <m/>
    <m/>
    <m/>
    <m/>
    <m/>
    <m/>
    <m/>
    <m/>
  </r>
  <r>
    <x v="10"/>
    <x v="18"/>
    <m/>
    <m/>
    <m/>
    <m/>
    <m/>
    <m/>
    <m/>
    <m/>
    <m/>
    <m/>
    <m/>
    <m/>
    <m/>
    <m/>
    <m/>
    <m/>
    <m/>
  </r>
  <r>
    <x v="10"/>
    <x v="19"/>
    <m/>
    <m/>
    <m/>
    <m/>
    <m/>
    <m/>
    <m/>
    <m/>
    <m/>
    <m/>
    <m/>
    <m/>
    <m/>
    <m/>
    <m/>
    <m/>
    <m/>
  </r>
  <r>
    <x v="10"/>
    <x v="20"/>
    <m/>
    <m/>
    <m/>
    <m/>
    <m/>
    <m/>
    <m/>
    <m/>
    <m/>
    <m/>
    <m/>
    <m/>
    <m/>
    <m/>
    <m/>
    <m/>
    <m/>
  </r>
  <r>
    <x v="10"/>
    <x v="21"/>
    <m/>
    <m/>
    <m/>
    <m/>
    <m/>
    <m/>
    <m/>
    <m/>
    <m/>
    <m/>
    <m/>
    <m/>
    <m/>
    <m/>
    <m/>
    <m/>
    <m/>
  </r>
  <r>
    <x v="10"/>
    <x v="22"/>
    <m/>
    <m/>
    <m/>
    <m/>
    <m/>
    <m/>
    <m/>
    <m/>
    <m/>
    <m/>
    <m/>
    <m/>
    <m/>
    <m/>
    <m/>
    <m/>
    <m/>
  </r>
  <r>
    <x v="10"/>
    <x v="23"/>
    <m/>
    <m/>
    <m/>
    <m/>
    <m/>
    <m/>
    <m/>
    <m/>
    <m/>
    <m/>
    <m/>
    <m/>
    <m/>
    <m/>
    <m/>
    <m/>
    <m/>
  </r>
  <r>
    <x v="10"/>
    <x v="24"/>
    <m/>
    <m/>
    <m/>
    <m/>
    <m/>
    <m/>
    <m/>
    <m/>
    <m/>
    <m/>
    <m/>
    <m/>
    <m/>
    <m/>
    <m/>
    <m/>
    <m/>
  </r>
  <r>
    <x v="10"/>
    <x v="25"/>
    <m/>
    <m/>
    <m/>
    <m/>
    <m/>
    <m/>
    <m/>
    <m/>
    <m/>
    <m/>
    <m/>
    <n v="1"/>
    <n v="1"/>
    <n v="1"/>
    <n v="1"/>
    <m/>
    <m/>
  </r>
  <r>
    <x v="10"/>
    <x v="26"/>
    <m/>
    <m/>
    <m/>
    <m/>
    <m/>
    <m/>
    <m/>
    <m/>
    <m/>
    <m/>
    <m/>
    <m/>
    <m/>
    <m/>
    <m/>
    <m/>
    <m/>
  </r>
  <r>
    <x v="10"/>
    <x v="27"/>
    <m/>
    <m/>
    <m/>
    <m/>
    <m/>
    <m/>
    <m/>
    <m/>
    <m/>
    <m/>
    <m/>
    <m/>
    <m/>
    <m/>
    <m/>
    <m/>
    <m/>
  </r>
  <r>
    <x v="10"/>
    <x v="28"/>
    <m/>
    <m/>
    <m/>
    <m/>
    <m/>
    <m/>
    <m/>
    <m/>
    <m/>
    <m/>
    <m/>
    <m/>
    <m/>
    <m/>
    <m/>
    <m/>
    <m/>
  </r>
  <r>
    <x v="10"/>
    <x v="29"/>
    <m/>
    <m/>
    <m/>
    <m/>
    <m/>
    <m/>
    <m/>
    <m/>
    <m/>
    <m/>
    <m/>
    <m/>
    <m/>
    <m/>
    <m/>
    <m/>
    <m/>
  </r>
  <r>
    <x v="10"/>
    <x v="30"/>
    <m/>
    <m/>
    <m/>
    <m/>
    <m/>
    <m/>
    <m/>
    <m/>
    <m/>
    <m/>
    <m/>
    <m/>
    <m/>
    <m/>
    <m/>
    <m/>
    <m/>
  </r>
  <r>
    <x v="10"/>
    <x v="31"/>
    <m/>
    <m/>
    <m/>
    <m/>
    <m/>
    <m/>
    <m/>
    <m/>
    <m/>
    <m/>
    <m/>
    <m/>
    <m/>
    <m/>
    <m/>
    <m/>
    <m/>
  </r>
  <r>
    <x v="10"/>
    <x v="32"/>
    <n v="11"/>
    <n v="11"/>
    <n v="11"/>
    <n v="11"/>
    <n v="4"/>
    <n v="4"/>
    <m/>
    <m/>
    <m/>
    <n v="2"/>
    <m/>
    <n v="11"/>
    <n v="12"/>
    <n v="2"/>
    <m/>
    <n v="12"/>
    <m/>
  </r>
  <r>
    <x v="10"/>
    <x v="33"/>
    <m/>
    <m/>
    <m/>
    <m/>
    <m/>
    <m/>
    <m/>
    <m/>
    <m/>
    <m/>
    <m/>
    <m/>
    <m/>
    <m/>
    <m/>
    <m/>
    <m/>
  </r>
  <r>
    <x v="10"/>
    <x v="34"/>
    <m/>
    <m/>
    <m/>
    <m/>
    <m/>
    <m/>
    <m/>
    <m/>
    <m/>
    <m/>
    <m/>
    <m/>
    <m/>
    <m/>
    <m/>
    <m/>
    <m/>
  </r>
  <r>
    <x v="10"/>
    <x v="35"/>
    <n v="4"/>
    <n v="11"/>
    <n v="2"/>
    <n v="10"/>
    <n v="2"/>
    <m/>
    <m/>
    <m/>
    <m/>
    <m/>
    <m/>
    <n v="6"/>
    <m/>
    <n v="4"/>
    <m/>
    <n v="6"/>
    <m/>
  </r>
  <r>
    <x v="10"/>
    <x v="36"/>
    <m/>
    <m/>
    <m/>
    <m/>
    <m/>
    <m/>
    <m/>
    <m/>
    <m/>
    <m/>
    <m/>
    <m/>
    <m/>
    <m/>
    <m/>
    <m/>
    <m/>
  </r>
  <r>
    <x v="10"/>
    <x v="37"/>
    <m/>
    <m/>
    <m/>
    <m/>
    <m/>
    <m/>
    <m/>
    <m/>
    <m/>
    <m/>
    <m/>
    <m/>
    <m/>
    <m/>
    <m/>
    <m/>
    <m/>
  </r>
  <r>
    <x v="10"/>
    <x v="38"/>
    <m/>
    <m/>
    <m/>
    <m/>
    <m/>
    <m/>
    <m/>
    <n v="1"/>
    <n v="3"/>
    <m/>
    <m/>
    <n v="2"/>
    <m/>
    <n v="2"/>
    <m/>
    <m/>
    <m/>
  </r>
  <r>
    <x v="10"/>
    <x v="39"/>
    <m/>
    <m/>
    <m/>
    <m/>
    <m/>
    <m/>
    <m/>
    <m/>
    <m/>
    <m/>
    <m/>
    <m/>
    <m/>
    <m/>
    <m/>
    <m/>
    <m/>
  </r>
  <r>
    <x v="10"/>
    <x v="40"/>
    <m/>
    <m/>
    <m/>
    <m/>
    <m/>
    <m/>
    <m/>
    <m/>
    <m/>
    <m/>
    <m/>
    <m/>
    <m/>
    <m/>
    <m/>
    <m/>
    <m/>
  </r>
  <r>
    <x v="10"/>
    <x v="41"/>
    <m/>
    <m/>
    <m/>
    <m/>
    <m/>
    <m/>
    <m/>
    <m/>
    <m/>
    <m/>
    <m/>
    <m/>
    <m/>
    <m/>
    <m/>
    <m/>
    <m/>
  </r>
  <r>
    <x v="10"/>
    <x v="42"/>
    <m/>
    <m/>
    <m/>
    <m/>
    <m/>
    <m/>
    <n v="1"/>
    <n v="2"/>
    <m/>
    <m/>
    <m/>
    <n v="7"/>
    <m/>
    <n v="7"/>
    <n v="1"/>
    <m/>
    <m/>
  </r>
  <r>
    <x v="10"/>
    <x v="43"/>
    <n v="2"/>
    <m/>
    <n v="2"/>
    <m/>
    <n v="2"/>
    <m/>
    <n v="2"/>
    <m/>
    <m/>
    <m/>
    <m/>
    <n v="3"/>
    <m/>
    <n v="1"/>
    <m/>
    <m/>
    <m/>
  </r>
  <r>
    <x v="10"/>
    <x v="44"/>
    <m/>
    <m/>
    <m/>
    <m/>
    <m/>
    <m/>
    <m/>
    <m/>
    <m/>
    <m/>
    <m/>
    <m/>
    <m/>
    <m/>
    <m/>
    <m/>
    <m/>
  </r>
  <r>
    <x v="10"/>
    <x v="45"/>
    <m/>
    <m/>
    <m/>
    <m/>
    <m/>
    <m/>
    <m/>
    <m/>
    <m/>
    <m/>
    <m/>
    <m/>
    <m/>
    <m/>
    <m/>
    <m/>
    <m/>
  </r>
  <r>
    <x v="10"/>
    <x v="46"/>
    <m/>
    <m/>
    <m/>
    <m/>
    <m/>
    <m/>
    <m/>
    <m/>
    <m/>
    <m/>
    <m/>
    <m/>
    <m/>
    <m/>
    <m/>
    <m/>
    <m/>
  </r>
  <r>
    <x v="10"/>
    <x v="47"/>
    <m/>
    <m/>
    <m/>
    <m/>
    <m/>
    <m/>
    <m/>
    <m/>
    <m/>
    <m/>
    <m/>
    <m/>
    <m/>
    <m/>
    <m/>
    <m/>
    <m/>
  </r>
  <r>
    <x v="10"/>
    <x v="48"/>
    <m/>
    <m/>
    <m/>
    <m/>
    <m/>
    <m/>
    <m/>
    <m/>
    <m/>
    <m/>
    <m/>
    <m/>
    <m/>
    <m/>
    <m/>
    <m/>
    <m/>
  </r>
  <r>
    <x v="10"/>
    <x v="49"/>
    <m/>
    <m/>
    <m/>
    <m/>
    <m/>
    <m/>
    <m/>
    <m/>
    <m/>
    <m/>
    <m/>
    <m/>
    <n v="1"/>
    <n v="1"/>
    <n v="1"/>
    <n v="1"/>
    <m/>
  </r>
  <r>
    <x v="10"/>
    <x v="50"/>
    <m/>
    <m/>
    <m/>
    <m/>
    <m/>
    <m/>
    <m/>
    <m/>
    <m/>
    <m/>
    <m/>
    <m/>
    <m/>
    <m/>
    <m/>
    <m/>
    <m/>
  </r>
  <r>
    <x v="10"/>
    <x v="51"/>
    <n v="3"/>
    <m/>
    <n v="3"/>
    <m/>
    <n v="3"/>
    <m/>
    <n v="3"/>
    <m/>
    <m/>
    <m/>
    <m/>
    <n v="7"/>
    <m/>
    <n v="2"/>
    <m/>
    <m/>
    <m/>
  </r>
  <r>
    <x v="11"/>
    <x v="0"/>
    <m/>
    <m/>
    <m/>
    <m/>
    <m/>
    <m/>
    <m/>
    <m/>
    <m/>
    <m/>
    <m/>
    <m/>
    <m/>
    <m/>
    <m/>
    <m/>
    <m/>
  </r>
  <r>
    <x v="11"/>
    <x v="1"/>
    <m/>
    <m/>
    <m/>
    <m/>
    <m/>
    <m/>
    <m/>
    <m/>
    <m/>
    <m/>
    <m/>
    <m/>
    <m/>
    <m/>
    <m/>
    <m/>
    <m/>
  </r>
  <r>
    <x v="11"/>
    <x v="2"/>
    <m/>
    <m/>
    <m/>
    <m/>
    <m/>
    <m/>
    <m/>
    <m/>
    <m/>
    <m/>
    <m/>
    <m/>
    <m/>
    <m/>
    <m/>
    <m/>
    <m/>
  </r>
  <r>
    <x v="11"/>
    <x v="3"/>
    <m/>
    <m/>
    <m/>
    <m/>
    <m/>
    <m/>
    <m/>
    <m/>
    <m/>
    <m/>
    <m/>
    <m/>
    <m/>
    <m/>
    <m/>
    <m/>
    <m/>
  </r>
  <r>
    <x v="11"/>
    <x v="4"/>
    <m/>
    <m/>
    <m/>
    <m/>
    <m/>
    <m/>
    <m/>
    <m/>
    <m/>
    <m/>
    <m/>
    <m/>
    <m/>
    <m/>
    <m/>
    <m/>
    <m/>
  </r>
  <r>
    <x v="11"/>
    <x v="5"/>
    <m/>
    <m/>
    <m/>
    <m/>
    <m/>
    <m/>
    <m/>
    <m/>
    <m/>
    <m/>
    <m/>
    <m/>
    <m/>
    <m/>
    <m/>
    <m/>
    <m/>
  </r>
  <r>
    <x v="11"/>
    <x v="6"/>
    <m/>
    <m/>
    <m/>
    <m/>
    <m/>
    <m/>
    <m/>
    <m/>
    <m/>
    <m/>
    <m/>
    <m/>
    <m/>
    <m/>
    <m/>
    <m/>
    <m/>
  </r>
  <r>
    <x v="11"/>
    <x v="7"/>
    <m/>
    <m/>
    <m/>
    <m/>
    <m/>
    <m/>
    <m/>
    <m/>
    <m/>
    <m/>
    <m/>
    <m/>
    <m/>
    <m/>
    <m/>
    <m/>
    <m/>
  </r>
  <r>
    <x v="11"/>
    <x v="8"/>
    <m/>
    <m/>
    <m/>
    <m/>
    <m/>
    <m/>
    <m/>
    <m/>
    <m/>
    <m/>
    <m/>
    <m/>
    <m/>
    <m/>
    <m/>
    <m/>
    <m/>
  </r>
  <r>
    <x v="11"/>
    <x v="9"/>
    <m/>
    <m/>
    <m/>
    <m/>
    <m/>
    <m/>
    <m/>
    <m/>
    <m/>
    <m/>
    <m/>
    <m/>
    <m/>
    <m/>
    <m/>
    <m/>
    <m/>
  </r>
  <r>
    <x v="11"/>
    <x v="10"/>
    <m/>
    <m/>
    <m/>
    <m/>
    <m/>
    <m/>
    <m/>
    <m/>
    <m/>
    <m/>
    <m/>
    <m/>
    <m/>
    <m/>
    <m/>
    <m/>
    <m/>
  </r>
  <r>
    <x v="11"/>
    <x v="11"/>
    <m/>
    <m/>
    <m/>
    <m/>
    <m/>
    <m/>
    <m/>
    <m/>
    <m/>
    <m/>
    <m/>
    <m/>
    <m/>
    <m/>
    <m/>
    <m/>
    <m/>
  </r>
  <r>
    <x v="11"/>
    <x v="12"/>
    <m/>
    <m/>
    <m/>
    <m/>
    <m/>
    <m/>
    <m/>
    <m/>
    <m/>
    <m/>
    <m/>
    <m/>
    <m/>
    <m/>
    <m/>
    <m/>
    <m/>
  </r>
  <r>
    <x v="11"/>
    <x v="13"/>
    <m/>
    <m/>
    <m/>
    <m/>
    <m/>
    <m/>
    <m/>
    <m/>
    <m/>
    <m/>
    <m/>
    <m/>
    <m/>
    <m/>
    <m/>
    <m/>
    <m/>
  </r>
  <r>
    <x v="11"/>
    <x v="14"/>
    <m/>
    <m/>
    <m/>
    <m/>
    <m/>
    <m/>
    <m/>
    <m/>
    <m/>
    <m/>
    <m/>
    <m/>
    <m/>
    <m/>
    <m/>
    <m/>
    <m/>
  </r>
  <r>
    <x v="11"/>
    <x v="15"/>
    <m/>
    <m/>
    <m/>
    <m/>
    <m/>
    <m/>
    <m/>
    <m/>
    <m/>
    <m/>
    <m/>
    <m/>
    <m/>
    <m/>
    <m/>
    <m/>
    <m/>
  </r>
  <r>
    <x v="11"/>
    <x v="16"/>
    <m/>
    <m/>
    <m/>
    <m/>
    <m/>
    <m/>
    <m/>
    <m/>
    <m/>
    <m/>
    <m/>
    <m/>
    <m/>
    <m/>
    <m/>
    <m/>
    <m/>
  </r>
  <r>
    <x v="11"/>
    <x v="17"/>
    <m/>
    <m/>
    <m/>
    <m/>
    <m/>
    <m/>
    <m/>
    <m/>
    <m/>
    <m/>
    <m/>
    <m/>
    <m/>
    <m/>
    <m/>
    <m/>
    <m/>
  </r>
  <r>
    <x v="11"/>
    <x v="18"/>
    <m/>
    <m/>
    <m/>
    <m/>
    <m/>
    <m/>
    <m/>
    <m/>
    <m/>
    <m/>
    <m/>
    <m/>
    <m/>
    <m/>
    <m/>
    <m/>
    <m/>
  </r>
  <r>
    <x v="11"/>
    <x v="19"/>
    <m/>
    <m/>
    <m/>
    <m/>
    <m/>
    <m/>
    <m/>
    <m/>
    <m/>
    <m/>
    <m/>
    <m/>
    <m/>
    <m/>
    <m/>
    <m/>
    <m/>
  </r>
  <r>
    <x v="11"/>
    <x v="20"/>
    <m/>
    <m/>
    <m/>
    <m/>
    <m/>
    <m/>
    <m/>
    <m/>
    <m/>
    <m/>
    <m/>
    <m/>
    <m/>
    <m/>
    <m/>
    <m/>
    <m/>
  </r>
  <r>
    <x v="11"/>
    <x v="21"/>
    <m/>
    <m/>
    <m/>
    <m/>
    <m/>
    <m/>
    <m/>
    <m/>
    <m/>
    <m/>
    <m/>
    <m/>
    <m/>
    <m/>
    <m/>
    <m/>
    <m/>
  </r>
  <r>
    <x v="11"/>
    <x v="22"/>
    <m/>
    <m/>
    <m/>
    <m/>
    <m/>
    <m/>
    <m/>
    <m/>
    <m/>
    <m/>
    <m/>
    <m/>
    <m/>
    <m/>
    <m/>
    <m/>
    <m/>
  </r>
  <r>
    <x v="11"/>
    <x v="23"/>
    <m/>
    <m/>
    <m/>
    <m/>
    <m/>
    <m/>
    <m/>
    <m/>
    <m/>
    <m/>
    <m/>
    <m/>
    <m/>
    <m/>
    <m/>
    <m/>
    <m/>
  </r>
  <r>
    <x v="11"/>
    <x v="24"/>
    <m/>
    <m/>
    <m/>
    <m/>
    <m/>
    <m/>
    <m/>
    <m/>
    <m/>
    <m/>
    <m/>
    <m/>
    <m/>
    <m/>
    <m/>
    <m/>
    <m/>
  </r>
  <r>
    <x v="11"/>
    <x v="25"/>
    <m/>
    <m/>
    <m/>
    <m/>
    <m/>
    <m/>
    <m/>
    <m/>
    <m/>
    <m/>
    <m/>
    <m/>
    <m/>
    <m/>
    <m/>
    <m/>
    <m/>
  </r>
  <r>
    <x v="11"/>
    <x v="26"/>
    <m/>
    <m/>
    <m/>
    <m/>
    <m/>
    <m/>
    <m/>
    <m/>
    <m/>
    <m/>
    <m/>
    <m/>
    <m/>
    <m/>
    <m/>
    <m/>
    <m/>
  </r>
  <r>
    <x v="11"/>
    <x v="27"/>
    <m/>
    <m/>
    <m/>
    <m/>
    <m/>
    <m/>
    <m/>
    <m/>
    <m/>
    <m/>
    <m/>
    <m/>
    <m/>
    <m/>
    <m/>
    <m/>
    <m/>
  </r>
  <r>
    <x v="11"/>
    <x v="28"/>
    <m/>
    <m/>
    <m/>
    <m/>
    <m/>
    <m/>
    <m/>
    <m/>
    <m/>
    <m/>
    <m/>
    <m/>
    <m/>
    <m/>
    <m/>
    <m/>
    <m/>
  </r>
  <r>
    <x v="11"/>
    <x v="29"/>
    <m/>
    <m/>
    <m/>
    <m/>
    <m/>
    <m/>
    <m/>
    <m/>
    <m/>
    <m/>
    <m/>
    <m/>
    <m/>
    <m/>
    <m/>
    <m/>
    <m/>
  </r>
  <r>
    <x v="11"/>
    <x v="30"/>
    <m/>
    <m/>
    <m/>
    <m/>
    <m/>
    <m/>
    <m/>
    <m/>
    <m/>
    <m/>
    <m/>
    <m/>
    <m/>
    <m/>
    <m/>
    <m/>
    <m/>
  </r>
  <r>
    <x v="11"/>
    <x v="31"/>
    <m/>
    <m/>
    <m/>
    <m/>
    <m/>
    <m/>
    <m/>
    <m/>
    <m/>
    <m/>
    <n v="2"/>
    <n v="2"/>
    <n v="2"/>
    <m/>
    <n v="2"/>
    <n v="2"/>
    <m/>
  </r>
  <r>
    <x v="11"/>
    <x v="32"/>
    <m/>
    <m/>
    <m/>
    <m/>
    <m/>
    <m/>
    <m/>
    <m/>
    <m/>
    <m/>
    <m/>
    <m/>
    <m/>
    <m/>
    <m/>
    <m/>
    <m/>
  </r>
  <r>
    <x v="11"/>
    <x v="33"/>
    <m/>
    <m/>
    <m/>
    <m/>
    <m/>
    <m/>
    <m/>
    <m/>
    <m/>
    <m/>
    <m/>
    <m/>
    <m/>
    <m/>
    <m/>
    <m/>
    <m/>
  </r>
  <r>
    <x v="11"/>
    <x v="34"/>
    <m/>
    <m/>
    <m/>
    <m/>
    <m/>
    <m/>
    <m/>
    <m/>
    <m/>
    <m/>
    <m/>
    <m/>
    <m/>
    <m/>
    <m/>
    <m/>
    <m/>
  </r>
  <r>
    <x v="11"/>
    <x v="35"/>
    <m/>
    <m/>
    <m/>
    <m/>
    <m/>
    <m/>
    <m/>
    <m/>
    <m/>
    <m/>
    <m/>
    <m/>
    <m/>
    <m/>
    <m/>
    <m/>
    <m/>
  </r>
  <r>
    <x v="11"/>
    <x v="36"/>
    <m/>
    <m/>
    <m/>
    <m/>
    <m/>
    <m/>
    <m/>
    <m/>
    <m/>
    <m/>
    <m/>
    <m/>
    <m/>
    <m/>
    <m/>
    <m/>
    <m/>
  </r>
  <r>
    <x v="11"/>
    <x v="37"/>
    <m/>
    <m/>
    <m/>
    <m/>
    <m/>
    <m/>
    <m/>
    <m/>
    <m/>
    <m/>
    <m/>
    <m/>
    <m/>
    <m/>
    <m/>
    <m/>
    <m/>
  </r>
  <r>
    <x v="11"/>
    <x v="38"/>
    <m/>
    <m/>
    <m/>
    <m/>
    <m/>
    <m/>
    <m/>
    <m/>
    <m/>
    <m/>
    <m/>
    <m/>
    <m/>
    <m/>
    <m/>
    <m/>
    <m/>
  </r>
  <r>
    <x v="11"/>
    <x v="39"/>
    <m/>
    <m/>
    <m/>
    <m/>
    <m/>
    <m/>
    <m/>
    <m/>
    <m/>
    <m/>
    <m/>
    <m/>
    <m/>
    <m/>
    <m/>
    <m/>
    <m/>
  </r>
  <r>
    <x v="11"/>
    <x v="40"/>
    <m/>
    <m/>
    <m/>
    <m/>
    <m/>
    <m/>
    <m/>
    <m/>
    <m/>
    <m/>
    <m/>
    <m/>
    <m/>
    <m/>
    <m/>
    <m/>
    <m/>
  </r>
  <r>
    <x v="11"/>
    <x v="41"/>
    <m/>
    <m/>
    <m/>
    <m/>
    <m/>
    <m/>
    <m/>
    <m/>
    <m/>
    <m/>
    <m/>
    <m/>
    <m/>
    <m/>
    <m/>
    <m/>
    <m/>
  </r>
  <r>
    <x v="11"/>
    <x v="42"/>
    <m/>
    <m/>
    <m/>
    <m/>
    <m/>
    <m/>
    <m/>
    <m/>
    <m/>
    <m/>
    <m/>
    <m/>
    <m/>
    <m/>
    <m/>
    <m/>
    <m/>
  </r>
  <r>
    <x v="11"/>
    <x v="43"/>
    <m/>
    <m/>
    <m/>
    <m/>
    <m/>
    <m/>
    <m/>
    <m/>
    <m/>
    <m/>
    <m/>
    <m/>
    <m/>
    <m/>
    <m/>
    <m/>
    <m/>
  </r>
  <r>
    <x v="11"/>
    <x v="44"/>
    <m/>
    <m/>
    <m/>
    <m/>
    <m/>
    <m/>
    <m/>
    <m/>
    <m/>
    <m/>
    <m/>
    <m/>
    <m/>
    <m/>
    <m/>
    <m/>
    <m/>
  </r>
  <r>
    <x v="11"/>
    <x v="45"/>
    <m/>
    <m/>
    <m/>
    <m/>
    <m/>
    <m/>
    <m/>
    <m/>
    <m/>
    <m/>
    <m/>
    <m/>
    <m/>
    <m/>
    <m/>
    <m/>
    <m/>
  </r>
  <r>
    <x v="11"/>
    <x v="46"/>
    <m/>
    <m/>
    <m/>
    <m/>
    <m/>
    <m/>
    <m/>
    <m/>
    <m/>
    <m/>
    <m/>
    <m/>
    <m/>
    <m/>
    <m/>
    <m/>
    <m/>
  </r>
  <r>
    <x v="11"/>
    <x v="47"/>
    <m/>
    <m/>
    <m/>
    <m/>
    <m/>
    <m/>
    <m/>
    <m/>
    <m/>
    <m/>
    <m/>
    <m/>
    <m/>
    <m/>
    <m/>
    <m/>
    <m/>
  </r>
  <r>
    <x v="11"/>
    <x v="48"/>
    <m/>
    <m/>
    <m/>
    <m/>
    <m/>
    <m/>
    <m/>
    <m/>
    <m/>
    <m/>
    <m/>
    <m/>
    <m/>
    <m/>
    <m/>
    <m/>
    <m/>
  </r>
  <r>
    <x v="11"/>
    <x v="49"/>
    <m/>
    <m/>
    <m/>
    <m/>
    <m/>
    <m/>
    <m/>
    <m/>
    <m/>
    <m/>
    <m/>
    <m/>
    <m/>
    <m/>
    <m/>
    <m/>
    <m/>
  </r>
  <r>
    <x v="11"/>
    <x v="50"/>
    <m/>
    <m/>
    <m/>
    <m/>
    <m/>
    <m/>
    <m/>
    <m/>
    <m/>
    <m/>
    <m/>
    <m/>
    <m/>
    <m/>
    <m/>
    <m/>
    <m/>
  </r>
  <r>
    <x v="11"/>
    <x v="51"/>
    <m/>
    <m/>
    <m/>
    <m/>
    <m/>
    <m/>
    <m/>
    <m/>
    <m/>
    <m/>
    <m/>
    <m/>
    <m/>
    <m/>
    <m/>
    <m/>
    <m/>
  </r>
  <r>
    <x v="12"/>
    <x v="0"/>
    <m/>
    <m/>
    <m/>
    <m/>
    <m/>
    <m/>
    <m/>
    <m/>
    <m/>
    <m/>
    <m/>
    <m/>
    <m/>
    <m/>
    <m/>
    <m/>
    <m/>
  </r>
  <r>
    <x v="12"/>
    <x v="1"/>
    <m/>
    <m/>
    <m/>
    <m/>
    <m/>
    <m/>
    <m/>
    <m/>
    <m/>
    <m/>
    <m/>
    <m/>
    <m/>
    <m/>
    <m/>
    <m/>
    <m/>
  </r>
  <r>
    <x v="12"/>
    <x v="2"/>
    <m/>
    <m/>
    <m/>
    <m/>
    <m/>
    <m/>
    <m/>
    <m/>
    <m/>
    <m/>
    <m/>
    <m/>
    <m/>
    <m/>
    <m/>
    <m/>
    <m/>
  </r>
  <r>
    <x v="12"/>
    <x v="3"/>
    <m/>
    <m/>
    <m/>
    <m/>
    <m/>
    <m/>
    <m/>
    <m/>
    <m/>
    <m/>
    <m/>
    <m/>
    <m/>
    <m/>
    <m/>
    <m/>
    <m/>
  </r>
  <r>
    <x v="12"/>
    <x v="4"/>
    <m/>
    <m/>
    <m/>
    <m/>
    <m/>
    <m/>
    <m/>
    <m/>
    <m/>
    <m/>
    <m/>
    <m/>
    <m/>
    <m/>
    <m/>
    <m/>
    <m/>
  </r>
  <r>
    <x v="12"/>
    <x v="5"/>
    <m/>
    <m/>
    <m/>
    <m/>
    <m/>
    <m/>
    <m/>
    <m/>
    <m/>
    <m/>
    <m/>
    <m/>
    <m/>
    <m/>
    <m/>
    <m/>
    <m/>
  </r>
  <r>
    <x v="12"/>
    <x v="6"/>
    <m/>
    <m/>
    <m/>
    <m/>
    <m/>
    <m/>
    <m/>
    <m/>
    <m/>
    <m/>
    <m/>
    <m/>
    <m/>
    <m/>
    <m/>
    <m/>
    <m/>
  </r>
  <r>
    <x v="12"/>
    <x v="7"/>
    <m/>
    <m/>
    <m/>
    <m/>
    <m/>
    <m/>
    <m/>
    <m/>
    <m/>
    <m/>
    <m/>
    <m/>
    <m/>
    <m/>
    <m/>
    <m/>
    <m/>
  </r>
  <r>
    <x v="12"/>
    <x v="8"/>
    <m/>
    <m/>
    <m/>
    <m/>
    <m/>
    <m/>
    <m/>
    <m/>
    <m/>
    <m/>
    <m/>
    <m/>
    <m/>
    <m/>
    <m/>
    <m/>
    <m/>
  </r>
  <r>
    <x v="12"/>
    <x v="9"/>
    <m/>
    <m/>
    <m/>
    <m/>
    <m/>
    <m/>
    <n v="1"/>
    <m/>
    <m/>
    <m/>
    <n v="1"/>
    <m/>
    <n v="1"/>
    <n v="1"/>
    <n v="1"/>
    <n v="1"/>
    <m/>
  </r>
  <r>
    <x v="12"/>
    <x v="10"/>
    <m/>
    <m/>
    <m/>
    <m/>
    <m/>
    <m/>
    <m/>
    <m/>
    <m/>
    <m/>
    <m/>
    <m/>
    <m/>
    <m/>
    <m/>
    <m/>
    <m/>
  </r>
  <r>
    <x v="12"/>
    <x v="11"/>
    <m/>
    <m/>
    <m/>
    <m/>
    <m/>
    <m/>
    <m/>
    <m/>
    <m/>
    <m/>
    <m/>
    <m/>
    <m/>
    <m/>
    <m/>
    <m/>
    <m/>
  </r>
  <r>
    <x v="12"/>
    <x v="12"/>
    <m/>
    <m/>
    <m/>
    <m/>
    <m/>
    <m/>
    <m/>
    <m/>
    <m/>
    <m/>
    <m/>
    <m/>
    <m/>
    <m/>
    <m/>
    <m/>
    <m/>
  </r>
  <r>
    <x v="12"/>
    <x v="13"/>
    <m/>
    <m/>
    <m/>
    <m/>
    <m/>
    <m/>
    <m/>
    <m/>
    <m/>
    <m/>
    <m/>
    <m/>
    <m/>
    <m/>
    <m/>
    <m/>
    <m/>
  </r>
  <r>
    <x v="12"/>
    <x v="14"/>
    <m/>
    <m/>
    <m/>
    <m/>
    <m/>
    <m/>
    <m/>
    <m/>
    <m/>
    <m/>
    <m/>
    <m/>
    <m/>
    <m/>
    <m/>
    <m/>
    <m/>
  </r>
  <r>
    <x v="12"/>
    <x v="15"/>
    <m/>
    <m/>
    <m/>
    <m/>
    <m/>
    <m/>
    <m/>
    <m/>
    <m/>
    <m/>
    <m/>
    <m/>
    <m/>
    <m/>
    <m/>
    <m/>
    <m/>
  </r>
  <r>
    <x v="12"/>
    <x v="16"/>
    <m/>
    <m/>
    <m/>
    <m/>
    <m/>
    <m/>
    <m/>
    <m/>
    <m/>
    <m/>
    <m/>
    <m/>
    <m/>
    <m/>
    <m/>
    <m/>
    <m/>
  </r>
  <r>
    <x v="12"/>
    <x v="17"/>
    <m/>
    <m/>
    <m/>
    <m/>
    <m/>
    <m/>
    <m/>
    <m/>
    <m/>
    <m/>
    <m/>
    <m/>
    <m/>
    <m/>
    <m/>
    <m/>
    <m/>
  </r>
  <r>
    <x v="12"/>
    <x v="18"/>
    <m/>
    <m/>
    <m/>
    <m/>
    <m/>
    <m/>
    <m/>
    <m/>
    <m/>
    <m/>
    <m/>
    <m/>
    <m/>
    <m/>
    <m/>
    <m/>
    <m/>
  </r>
  <r>
    <x v="12"/>
    <x v="19"/>
    <m/>
    <m/>
    <m/>
    <m/>
    <m/>
    <m/>
    <m/>
    <m/>
    <m/>
    <m/>
    <m/>
    <m/>
    <m/>
    <m/>
    <m/>
    <m/>
    <m/>
  </r>
  <r>
    <x v="12"/>
    <x v="20"/>
    <m/>
    <m/>
    <m/>
    <m/>
    <m/>
    <m/>
    <m/>
    <m/>
    <m/>
    <m/>
    <m/>
    <m/>
    <m/>
    <m/>
    <m/>
    <m/>
    <m/>
  </r>
  <r>
    <x v="12"/>
    <x v="21"/>
    <m/>
    <m/>
    <m/>
    <m/>
    <m/>
    <m/>
    <m/>
    <m/>
    <m/>
    <m/>
    <m/>
    <m/>
    <m/>
    <m/>
    <m/>
    <m/>
    <m/>
  </r>
  <r>
    <x v="12"/>
    <x v="22"/>
    <m/>
    <m/>
    <m/>
    <m/>
    <m/>
    <m/>
    <m/>
    <m/>
    <m/>
    <m/>
    <m/>
    <m/>
    <m/>
    <m/>
    <m/>
    <m/>
    <m/>
  </r>
  <r>
    <x v="12"/>
    <x v="23"/>
    <m/>
    <m/>
    <m/>
    <m/>
    <m/>
    <m/>
    <m/>
    <m/>
    <m/>
    <m/>
    <m/>
    <m/>
    <m/>
    <m/>
    <m/>
    <m/>
    <m/>
  </r>
  <r>
    <x v="12"/>
    <x v="24"/>
    <m/>
    <m/>
    <m/>
    <m/>
    <m/>
    <m/>
    <m/>
    <m/>
    <m/>
    <m/>
    <m/>
    <m/>
    <m/>
    <m/>
    <m/>
    <m/>
    <m/>
  </r>
  <r>
    <x v="12"/>
    <x v="25"/>
    <m/>
    <m/>
    <m/>
    <m/>
    <m/>
    <m/>
    <m/>
    <m/>
    <m/>
    <m/>
    <m/>
    <m/>
    <m/>
    <m/>
    <m/>
    <m/>
    <m/>
  </r>
  <r>
    <x v="12"/>
    <x v="26"/>
    <m/>
    <m/>
    <m/>
    <m/>
    <m/>
    <m/>
    <m/>
    <m/>
    <m/>
    <m/>
    <m/>
    <m/>
    <m/>
    <m/>
    <m/>
    <m/>
    <m/>
  </r>
  <r>
    <x v="12"/>
    <x v="27"/>
    <m/>
    <m/>
    <m/>
    <m/>
    <m/>
    <m/>
    <m/>
    <m/>
    <m/>
    <m/>
    <m/>
    <m/>
    <m/>
    <m/>
    <m/>
    <m/>
    <m/>
  </r>
  <r>
    <x v="12"/>
    <x v="28"/>
    <m/>
    <m/>
    <m/>
    <m/>
    <m/>
    <m/>
    <m/>
    <m/>
    <m/>
    <m/>
    <m/>
    <m/>
    <m/>
    <m/>
    <m/>
    <m/>
    <m/>
  </r>
  <r>
    <x v="12"/>
    <x v="29"/>
    <m/>
    <m/>
    <m/>
    <m/>
    <m/>
    <m/>
    <m/>
    <m/>
    <m/>
    <m/>
    <m/>
    <m/>
    <m/>
    <m/>
    <m/>
    <m/>
    <m/>
  </r>
  <r>
    <x v="12"/>
    <x v="30"/>
    <m/>
    <m/>
    <m/>
    <m/>
    <m/>
    <m/>
    <m/>
    <m/>
    <m/>
    <m/>
    <m/>
    <m/>
    <m/>
    <m/>
    <m/>
    <m/>
    <m/>
  </r>
  <r>
    <x v="12"/>
    <x v="31"/>
    <m/>
    <m/>
    <m/>
    <m/>
    <m/>
    <m/>
    <m/>
    <m/>
    <m/>
    <m/>
    <m/>
    <m/>
    <m/>
    <m/>
    <m/>
    <m/>
    <m/>
  </r>
  <r>
    <x v="12"/>
    <x v="32"/>
    <m/>
    <m/>
    <m/>
    <m/>
    <m/>
    <m/>
    <m/>
    <m/>
    <m/>
    <m/>
    <m/>
    <m/>
    <m/>
    <m/>
    <m/>
    <m/>
    <m/>
  </r>
  <r>
    <x v="12"/>
    <x v="33"/>
    <m/>
    <m/>
    <m/>
    <m/>
    <m/>
    <m/>
    <m/>
    <m/>
    <m/>
    <m/>
    <m/>
    <m/>
    <m/>
    <m/>
    <m/>
    <m/>
    <m/>
  </r>
  <r>
    <x v="12"/>
    <x v="34"/>
    <m/>
    <m/>
    <m/>
    <m/>
    <m/>
    <m/>
    <m/>
    <m/>
    <m/>
    <m/>
    <m/>
    <m/>
    <m/>
    <m/>
    <m/>
    <m/>
    <m/>
  </r>
  <r>
    <x v="12"/>
    <x v="35"/>
    <m/>
    <m/>
    <m/>
    <m/>
    <m/>
    <m/>
    <m/>
    <m/>
    <m/>
    <m/>
    <m/>
    <m/>
    <m/>
    <m/>
    <m/>
    <m/>
    <m/>
  </r>
  <r>
    <x v="12"/>
    <x v="36"/>
    <m/>
    <m/>
    <m/>
    <m/>
    <m/>
    <m/>
    <m/>
    <m/>
    <m/>
    <m/>
    <m/>
    <m/>
    <m/>
    <m/>
    <m/>
    <m/>
    <m/>
  </r>
  <r>
    <x v="12"/>
    <x v="37"/>
    <m/>
    <m/>
    <m/>
    <m/>
    <m/>
    <m/>
    <m/>
    <m/>
    <m/>
    <m/>
    <m/>
    <m/>
    <m/>
    <m/>
    <m/>
    <m/>
    <m/>
  </r>
  <r>
    <x v="12"/>
    <x v="38"/>
    <m/>
    <m/>
    <m/>
    <m/>
    <m/>
    <m/>
    <m/>
    <m/>
    <m/>
    <m/>
    <m/>
    <m/>
    <m/>
    <m/>
    <m/>
    <m/>
    <m/>
  </r>
  <r>
    <x v="12"/>
    <x v="39"/>
    <m/>
    <m/>
    <m/>
    <m/>
    <m/>
    <m/>
    <m/>
    <m/>
    <m/>
    <m/>
    <m/>
    <m/>
    <m/>
    <m/>
    <m/>
    <m/>
    <m/>
  </r>
  <r>
    <x v="12"/>
    <x v="40"/>
    <m/>
    <m/>
    <m/>
    <m/>
    <m/>
    <m/>
    <m/>
    <m/>
    <m/>
    <m/>
    <m/>
    <m/>
    <m/>
    <m/>
    <m/>
    <m/>
    <m/>
  </r>
  <r>
    <x v="12"/>
    <x v="41"/>
    <m/>
    <m/>
    <m/>
    <m/>
    <m/>
    <m/>
    <m/>
    <m/>
    <m/>
    <m/>
    <m/>
    <m/>
    <m/>
    <m/>
    <m/>
    <m/>
    <m/>
  </r>
  <r>
    <x v="12"/>
    <x v="42"/>
    <m/>
    <m/>
    <m/>
    <m/>
    <m/>
    <m/>
    <m/>
    <m/>
    <m/>
    <m/>
    <m/>
    <m/>
    <m/>
    <m/>
    <m/>
    <m/>
    <m/>
  </r>
  <r>
    <x v="12"/>
    <x v="43"/>
    <m/>
    <m/>
    <m/>
    <m/>
    <m/>
    <m/>
    <m/>
    <m/>
    <m/>
    <m/>
    <m/>
    <m/>
    <m/>
    <m/>
    <m/>
    <m/>
    <m/>
  </r>
  <r>
    <x v="12"/>
    <x v="44"/>
    <m/>
    <m/>
    <m/>
    <m/>
    <m/>
    <m/>
    <m/>
    <m/>
    <m/>
    <m/>
    <m/>
    <m/>
    <m/>
    <m/>
    <m/>
    <m/>
    <m/>
  </r>
  <r>
    <x v="12"/>
    <x v="45"/>
    <m/>
    <m/>
    <m/>
    <m/>
    <m/>
    <m/>
    <m/>
    <m/>
    <m/>
    <m/>
    <m/>
    <m/>
    <m/>
    <m/>
    <m/>
    <m/>
    <m/>
  </r>
  <r>
    <x v="12"/>
    <x v="46"/>
    <m/>
    <m/>
    <m/>
    <m/>
    <m/>
    <m/>
    <m/>
    <m/>
    <m/>
    <m/>
    <m/>
    <m/>
    <m/>
    <m/>
    <m/>
    <m/>
    <m/>
  </r>
  <r>
    <x v="12"/>
    <x v="47"/>
    <m/>
    <m/>
    <m/>
    <m/>
    <m/>
    <m/>
    <m/>
    <m/>
    <m/>
    <m/>
    <m/>
    <m/>
    <m/>
    <m/>
    <m/>
    <m/>
    <m/>
  </r>
  <r>
    <x v="12"/>
    <x v="48"/>
    <m/>
    <m/>
    <m/>
    <m/>
    <m/>
    <m/>
    <m/>
    <m/>
    <m/>
    <m/>
    <m/>
    <m/>
    <m/>
    <m/>
    <m/>
    <m/>
    <m/>
  </r>
  <r>
    <x v="12"/>
    <x v="49"/>
    <m/>
    <m/>
    <m/>
    <m/>
    <m/>
    <m/>
    <m/>
    <m/>
    <m/>
    <m/>
    <m/>
    <m/>
    <m/>
    <m/>
    <m/>
    <m/>
    <m/>
  </r>
  <r>
    <x v="12"/>
    <x v="50"/>
    <m/>
    <m/>
    <m/>
    <m/>
    <m/>
    <m/>
    <m/>
    <m/>
    <m/>
    <m/>
    <m/>
    <m/>
    <m/>
    <m/>
    <m/>
    <m/>
    <m/>
  </r>
  <r>
    <x v="12"/>
    <x v="51"/>
    <m/>
    <m/>
    <m/>
    <m/>
    <m/>
    <m/>
    <m/>
    <m/>
    <m/>
    <m/>
    <m/>
    <m/>
    <m/>
    <m/>
    <m/>
    <m/>
    <m/>
  </r>
  <r>
    <x v="13"/>
    <x v="0"/>
    <m/>
    <m/>
    <m/>
    <m/>
    <m/>
    <m/>
    <m/>
    <m/>
    <m/>
    <m/>
    <m/>
    <m/>
    <m/>
    <m/>
    <m/>
    <m/>
    <m/>
  </r>
  <r>
    <x v="13"/>
    <x v="1"/>
    <m/>
    <m/>
    <m/>
    <m/>
    <m/>
    <m/>
    <m/>
    <m/>
    <m/>
    <m/>
    <m/>
    <m/>
    <m/>
    <m/>
    <m/>
    <m/>
    <m/>
  </r>
  <r>
    <x v="13"/>
    <x v="2"/>
    <m/>
    <m/>
    <m/>
    <m/>
    <m/>
    <m/>
    <m/>
    <m/>
    <m/>
    <m/>
    <m/>
    <m/>
    <m/>
    <m/>
    <m/>
    <m/>
    <m/>
  </r>
  <r>
    <x v="13"/>
    <x v="3"/>
    <m/>
    <m/>
    <m/>
    <m/>
    <m/>
    <m/>
    <m/>
    <m/>
    <m/>
    <m/>
    <m/>
    <m/>
    <m/>
    <m/>
    <m/>
    <m/>
    <m/>
  </r>
  <r>
    <x v="13"/>
    <x v="4"/>
    <m/>
    <m/>
    <m/>
    <m/>
    <m/>
    <m/>
    <m/>
    <m/>
    <m/>
    <m/>
    <m/>
    <m/>
    <m/>
    <m/>
    <m/>
    <m/>
    <m/>
  </r>
  <r>
    <x v="13"/>
    <x v="5"/>
    <m/>
    <m/>
    <m/>
    <m/>
    <m/>
    <m/>
    <m/>
    <m/>
    <m/>
    <m/>
    <m/>
    <m/>
    <m/>
    <m/>
    <m/>
    <m/>
    <m/>
  </r>
  <r>
    <x v="13"/>
    <x v="6"/>
    <m/>
    <m/>
    <m/>
    <m/>
    <m/>
    <m/>
    <m/>
    <m/>
    <m/>
    <m/>
    <m/>
    <m/>
    <m/>
    <m/>
    <m/>
    <m/>
    <m/>
  </r>
  <r>
    <x v="13"/>
    <x v="7"/>
    <m/>
    <m/>
    <m/>
    <m/>
    <m/>
    <m/>
    <m/>
    <m/>
    <m/>
    <m/>
    <m/>
    <m/>
    <m/>
    <m/>
    <m/>
    <m/>
    <m/>
  </r>
  <r>
    <x v="13"/>
    <x v="8"/>
    <m/>
    <m/>
    <m/>
    <m/>
    <m/>
    <m/>
    <m/>
    <m/>
    <m/>
    <m/>
    <m/>
    <m/>
    <m/>
    <m/>
    <m/>
    <m/>
    <m/>
  </r>
  <r>
    <x v="13"/>
    <x v="9"/>
    <m/>
    <m/>
    <m/>
    <m/>
    <m/>
    <m/>
    <m/>
    <m/>
    <m/>
    <m/>
    <m/>
    <m/>
    <m/>
    <m/>
    <m/>
    <m/>
    <m/>
  </r>
  <r>
    <x v="13"/>
    <x v="10"/>
    <m/>
    <m/>
    <m/>
    <m/>
    <m/>
    <m/>
    <m/>
    <m/>
    <m/>
    <m/>
    <m/>
    <m/>
    <m/>
    <m/>
    <m/>
    <m/>
    <m/>
  </r>
  <r>
    <x v="13"/>
    <x v="11"/>
    <m/>
    <m/>
    <m/>
    <m/>
    <m/>
    <m/>
    <m/>
    <m/>
    <m/>
    <m/>
    <m/>
    <m/>
    <m/>
    <m/>
    <m/>
    <m/>
    <m/>
  </r>
  <r>
    <x v="13"/>
    <x v="12"/>
    <m/>
    <m/>
    <m/>
    <m/>
    <m/>
    <m/>
    <m/>
    <m/>
    <m/>
    <m/>
    <m/>
    <m/>
    <m/>
    <m/>
    <m/>
    <m/>
    <m/>
  </r>
  <r>
    <x v="13"/>
    <x v="13"/>
    <m/>
    <m/>
    <m/>
    <m/>
    <m/>
    <m/>
    <m/>
    <m/>
    <m/>
    <m/>
    <m/>
    <m/>
    <m/>
    <m/>
    <m/>
    <m/>
    <m/>
  </r>
  <r>
    <x v="13"/>
    <x v="14"/>
    <m/>
    <m/>
    <m/>
    <m/>
    <m/>
    <m/>
    <m/>
    <m/>
    <m/>
    <m/>
    <m/>
    <m/>
    <m/>
    <m/>
    <m/>
    <m/>
    <m/>
  </r>
  <r>
    <x v="13"/>
    <x v="15"/>
    <m/>
    <m/>
    <m/>
    <m/>
    <m/>
    <m/>
    <m/>
    <m/>
    <m/>
    <m/>
    <m/>
    <m/>
    <m/>
    <m/>
    <m/>
    <m/>
    <m/>
  </r>
  <r>
    <x v="13"/>
    <x v="16"/>
    <m/>
    <m/>
    <m/>
    <m/>
    <m/>
    <m/>
    <m/>
    <m/>
    <m/>
    <m/>
    <m/>
    <m/>
    <m/>
    <m/>
    <m/>
    <m/>
    <m/>
  </r>
  <r>
    <x v="13"/>
    <x v="17"/>
    <m/>
    <m/>
    <m/>
    <m/>
    <m/>
    <m/>
    <m/>
    <m/>
    <m/>
    <m/>
    <m/>
    <m/>
    <m/>
    <m/>
    <m/>
    <m/>
    <m/>
  </r>
  <r>
    <x v="13"/>
    <x v="18"/>
    <n v="5"/>
    <m/>
    <m/>
    <m/>
    <m/>
    <m/>
    <m/>
    <m/>
    <m/>
    <m/>
    <m/>
    <n v="1"/>
    <m/>
    <m/>
    <m/>
    <m/>
    <m/>
  </r>
  <r>
    <x v="13"/>
    <x v="19"/>
    <m/>
    <m/>
    <m/>
    <m/>
    <m/>
    <m/>
    <m/>
    <m/>
    <m/>
    <m/>
    <m/>
    <m/>
    <m/>
    <m/>
    <m/>
    <m/>
    <m/>
  </r>
  <r>
    <x v="13"/>
    <x v="20"/>
    <m/>
    <m/>
    <m/>
    <m/>
    <m/>
    <m/>
    <m/>
    <m/>
    <m/>
    <m/>
    <m/>
    <m/>
    <m/>
    <m/>
    <m/>
    <m/>
    <m/>
  </r>
  <r>
    <x v="13"/>
    <x v="21"/>
    <m/>
    <m/>
    <m/>
    <m/>
    <m/>
    <m/>
    <m/>
    <m/>
    <m/>
    <m/>
    <m/>
    <m/>
    <m/>
    <m/>
    <m/>
    <m/>
    <m/>
  </r>
  <r>
    <x v="13"/>
    <x v="22"/>
    <m/>
    <m/>
    <m/>
    <m/>
    <m/>
    <m/>
    <m/>
    <m/>
    <m/>
    <m/>
    <m/>
    <m/>
    <m/>
    <m/>
    <m/>
    <m/>
    <m/>
  </r>
  <r>
    <x v="13"/>
    <x v="23"/>
    <m/>
    <m/>
    <m/>
    <m/>
    <m/>
    <m/>
    <m/>
    <m/>
    <m/>
    <m/>
    <m/>
    <m/>
    <m/>
    <m/>
    <m/>
    <m/>
    <m/>
  </r>
  <r>
    <x v="13"/>
    <x v="24"/>
    <m/>
    <m/>
    <m/>
    <m/>
    <m/>
    <m/>
    <m/>
    <m/>
    <m/>
    <m/>
    <m/>
    <m/>
    <m/>
    <m/>
    <m/>
    <m/>
    <m/>
  </r>
  <r>
    <x v="13"/>
    <x v="25"/>
    <m/>
    <m/>
    <m/>
    <m/>
    <m/>
    <m/>
    <m/>
    <m/>
    <m/>
    <m/>
    <m/>
    <m/>
    <m/>
    <m/>
    <m/>
    <m/>
    <m/>
  </r>
  <r>
    <x v="13"/>
    <x v="26"/>
    <m/>
    <m/>
    <m/>
    <m/>
    <m/>
    <m/>
    <m/>
    <m/>
    <m/>
    <m/>
    <m/>
    <m/>
    <m/>
    <m/>
    <m/>
    <m/>
    <m/>
  </r>
  <r>
    <x v="13"/>
    <x v="27"/>
    <m/>
    <m/>
    <m/>
    <m/>
    <m/>
    <m/>
    <m/>
    <m/>
    <m/>
    <m/>
    <m/>
    <m/>
    <m/>
    <m/>
    <m/>
    <m/>
    <m/>
  </r>
  <r>
    <x v="13"/>
    <x v="28"/>
    <m/>
    <m/>
    <m/>
    <m/>
    <m/>
    <m/>
    <m/>
    <m/>
    <m/>
    <m/>
    <m/>
    <m/>
    <m/>
    <m/>
    <m/>
    <m/>
    <m/>
  </r>
  <r>
    <x v="13"/>
    <x v="29"/>
    <m/>
    <m/>
    <m/>
    <m/>
    <m/>
    <m/>
    <m/>
    <m/>
    <m/>
    <m/>
    <m/>
    <m/>
    <m/>
    <m/>
    <m/>
    <m/>
    <m/>
  </r>
  <r>
    <x v="13"/>
    <x v="30"/>
    <m/>
    <m/>
    <m/>
    <m/>
    <m/>
    <m/>
    <m/>
    <m/>
    <m/>
    <m/>
    <m/>
    <m/>
    <m/>
    <m/>
    <m/>
    <m/>
    <m/>
  </r>
  <r>
    <x v="13"/>
    <x v="31"/>
    <m/>
    <m/>
    <m/>
    <m/>
    <m/>
    <m/>
    <m/>
    <m/>
    <m/>
    <m/>
    <m/>
    <m/>
    <m/>
    <m/>
    <m/>
    <m/>
    <m/>
  </r>
  <r>
    <x v="13"/>
    <x v="32"/>
    <m/>
    <m/>
    <m/>
    <m/>
    <m/>
    <m/>
    <m/>
    <m/>
    <m/>
    <m/>
    <m/>
    <m/>
    <m/>
    <m/>
    <m/>
    <m/>
    <m/>
  </r>
  <r>
    <x v="13"/>
    <x v="33"/>
    <m/>
    <m/>
    <m/>
    <m/>
    <m/>
    <m/>
    <m/>
    <m/>
    <m/>
    <m/>
    <m/>
    <m/>
    <m/>
    <m/>
    <m/>
    <m/>
    <m/>
  </r>
  <r>
    <x v="13"/>
    <x v="34"/>
    <n v="4"/>
    <m/>
    <m/>
    <m/>
    <m/>
    <m/>
    <m/>
    <m/>
    <m/>
    <m/>
    <m/>
    <n v="1"/>
    <n v="1"/>
    <m/>
    <m/>
    <m/>
    <m/>
  </r>
  <r>
    <x v="13"/>
    <x v="35"/>
    <m/>
    <m/>
    <m/>
    <m/>
    <m/>
    <m/>
    <m/>
    <m/>
    <m/>
    <m/>
    <m/>
    <m/>
    <m/>
    <m/>
    <m/>
    <m/>
    <m/>
  </r>
  <r>
    <x v="13"/>
    <x v="36"/>
    <m/>
    <m/>
    <m/>
    <m/>
    <m/>
    <m/>
    <m/>
    <m/>
    <m/>
    <m/>
    <m/>
    <m/>
    <m/>
    <m/>
    <m/>
    <m/>
    <m/>
  </r>
  <r>
    <x v="13"/>
    <x v="37"/>
    <m/>
    <m/>
    <m/>
    <m/>
    <m/>
    <m/>
    <m/>
    <m/>
    <m/>
    <m/>
    <m/>
    <m/>
    <m/>
    <m/>
    <m/>
    <m/>
    <m/>
  </r>
  <r>
    <x v="13"/>
    <x v="38"/>
    <m/>
    <m/>
    <m/>
    <m/>
    <m/>
    <m/>
    <m/>
    <m/>
    <m/>
    <m/>
    <m/>
    <m/>
    <m/>
    <m/>
    <m/>
    <m/>
    <m/>
  </r>
  <r>
    <x v="13"/>
    <x v="39"/>
    <m/>
    <m/>
    <m/>
    <m/>
    <m/>
    <m/>
    <m/>
    <m/>
    <m/>
    <m/>
    <m/>
    <m/>
    <m/>
    <m/>
    <m/>
    <m/>
    <m/>
  </r>
  <r>
    <x v="13"/>
    <x v="40"/>
    <m/>
    <m/>
    <m/>
    <m/>
    <m/>
    <m/>
    <m/>
    <m/>
    <m/>
    <m/>
    <m/>
    <m/>
    <m/>
    <m/>
    <m/>
    <m/>
    <m/>
  </r>
  <r>
    <x v="13"/>
    <x v="41"/>
    <m/>
    <m/>
    <m/>
    <m/>
    <m/>
    <m/>
    <m/>
    <m/>
    <m/>
    <m/>
    <m/>
    <m/>
    <m/>
    <m/>
    <m/>
    <m/>
    <m/>
  </r>
  <r>
    <x v="13"/>
    <x v="42"/>
    <m/>
    <m/>
    <m/>
    <m/>
    <m/>
    <m/>
    <m/>
    <m/>
    <m/>
    <m/>
    <m/>
    <m/>
    <m/>
    <m/>
    <m/>
    <m/>
    <m/>
  </r>
  <r>
    <x v="13"/>
    <x v="43"/>
    <m/>
    <m/>
    <m/>
    <m/>
    <m/>
    <m/>
    <m/>
    <m/>
    <m/>
    <m/>
    <m/>
    <m/>
    <m/>
    <m/>
    <m/>
    <m/>
    <m/>
  </r>
  <r>
    <x v="13"/>
    <x v="44"/>
    <m/>
    <m/>
    <m/>
    <m/>
    <m/>
    <m/>
    <m/>
    <m/>
    <m/>
    <m/>
    <m/>
    <m/>
    <m/>
    <m/>
    <m/>
    <m/>
    <m/>
  </r>
  <r>
    <x v="13"/>
    <x v="45"/>
    <m/>
    <m/>
    <m/>
    <m/>
    <m/>
    <m/>
    <m/>
    <m/>
    <m/>
    <m/>
    <m/>
    <m/>
    <m/>
    <m/>
    <m/>
    <m/>
    <m/>
  </r>
  <r>
    <x v="13"/>
    <x v="46"/>
    <m/>
    <m/>
    <m/>
    <m/>
    <m/>
    <m/>
    <m/>
    <m/>
    <m/>
    <m/>
    <m/>
    <m/>
    <m/>
    <m/>
    <m/>
    <m/>
    <m/>
  </r>
  <r>
    <x v="13"/>
    <x v="47"/>
    <m/>
    <m/>
    <m/>
    <m/>
    <m/>
    <m/>
    <m/>
    <m/>
    <m/>
    <m/>
    <m/>
    <m/>
    <m/>
    <m/>
    <m/>
    <m/>
    <m/>
  </r>
  <r>
    <x v="13"/>
    <x v="48"/>
    <m/>
    <m/>
    <m/>
    <m/>
    <m/>
    <m/>
    <m/>
    <m/>
    <m/>
    <m/>
    <m/>
    <m/>
    <m/>
    <m/>
    <m/>
    <m/>
    <m/>
  </r>
  <r>
    <x v="13"/>
    <x v="49"/>
    <m/>
    <m/>
    <m/>
    <m/>
    <m/>
    <m/>
    <m/>
    <m/>
    <m/>
    <m/>
    <m/>
    <m/>
    <m/>
    <m/>
    <m/>
    <m/>
    <m/>
  </r>
  <r>
    <x v="13"/>
    <x v="50"/>
    <m/>
    <m/>
    <m/>
    <m/>
    <m/>
    <m/>
    <m/>
    <m/>
    <m/>
    <m/>
    <m/>
    <m/>
    <m/>
    <m/>
    <m/>
    <m/>
    <m/>
  </r>
  <r>
    <x v="13"/>
    <x v="51"/>
    <m/>
    <m/>
    <m/>
    <m/>
    <m/>
    <m/>
    <m/>
    <m/>
    <m/>
    <m/>
    <m/>
    <m/>
    <m/>
    <m/>
    <m/>
    <m/>
    <m/>
  </r>
  <r>
    <x v="14"/>
    <x v="0"/>
    <m/>
    <m/>
    <m/>
    <m/>
    <m/>
    <m/>
    <m/>
    <m/>
    <m/>
    <m/>
    <m/>
    <m/>
    <m/>
    <m/>
    <m/>
    <m/>
    <m/>
  </r>
  <r>
    <x v="14"/>
    <x v="1"/>
    <m/>
    <m/>
    <m/>
    <m/>
    <m/>
    <m/>
    <m/>
    <m/>
    <m/>
    <m/>
    <m/>
    <m/>
    <m/>
    <m/>
    <m/>
    <m/>
    <m/>
  </r>
  <r>
    <x v="14"/>
    <x v="2"/>
    <m/>
    <m/>
    <m/>
    <m/>
    <m/>
    <m/>
    <m/>
    <m/>
    <m/>
    <m/>
    <m/>
    <m/>
    <m/>
    <m/>
    <m/>
    <m/>
    <m/>
  </r>
  <r>
    <x v="14"/>
    <x v="3"/>
    <m/>
    <m/>
    <m/>
    <m/>
    <m/>
    <m/>
    <m/>
    <m/>
    <m/>
    <m/>
    <m/>
    <m/>
    <m/>
    <m/>
    <m/>
    <m/>
    <m/>
  </r>
  <r>
    <x v="14"/>
    <x v="4"/>
    <m/>
    <m/>
    <m/>
    <m/>
    <m/>
    <m/>
    <m/>
    <m/>
    <m/>
    <m/>
    <m/>
    <m/>
    <m/>
    <m/>
    <m/>
    <m/>
    <m/>
  </r>
  <r>
    <x v="14"/>
    <x v="5"/>
    <m/>
    <m/>
    <m/>
    <m/>
    <m/>
    <m/>
    <m/>
    <m/>
    <m/>
    <m/>
    <m/>
    <m/>
    <m/>
    <m/>
    <m/>
    <m/>
    <m/>
  </r>
  <r>
    <x v="14"/>
    <x v="6"/>
    <m/>
    <m/>
    <m/>
    <m/>
    <m/>
    <m/>
    <m/>
    <m/>
    <m/>
    <m/>
    <m/>
    <m/>
    <m/>
    <m/>
    <m/>
    <m/>
    <m/>
  </r>
  <r>
    <x v="14"/>
    <x v="7"/>
    <m/>
    <m/>
    <m/>
    <m/>
    <m/>
    <m/>
    <m/>
    <m/>
    <m/>
    <m/>
    <m/>
    <m/>
    <m/>
    <m/>
    <m/>
    <m/>
    <m/>
  </r>
  <r>
    <x v="14"/>
    <x v="8"/>
    <m/>
    <m/>
    <m/>
    <m/>
    <m/>
    <m/>
    <m/>
    <m/>
    <m/>
    <m/>
    <m/>
    <m/>
    <m/>
    <m/>
    <m/>
    <m/>
    <m/>
  </r>
  <r>
    <x v="14"/>
    <x v="9"/>
    <m/>
    <m/>
    <m/>
    <m/>
    <m/>
    <m/>
    <m/>
    <m/>
    <m/>
    <m/>
    <m/>
    <m/>
    <m/>
    <m/>
    <m/>
    <m/>
    <m/>
  </r>
  <r>
    <x v="14"/>
    <x v="10"/>
    <m/>
    <m/>
    <m/>
    <m/>
    <m/>
    <m/>
    <m/>
    <m/>
    <m/>
    <m/>
    <m/>
    <m/>
    <m/>
    <m/>
    <m/>
    <m/>
    <m/>
  </r>
  <r>
    <x v="14"/>
    <x v="11"/>
    <m/>
    <m/>
    <m/>
    <m/>
    <m/>
    <m/>
    <m/>
    <m/>
    <m/>
    <m/>
    <m/>
    <m/>
    <m/>
    <m/>
    <m/>
    <m/>
    <m/>
  </r>
  <r>
    <x v="14"/>
    <x v="12"/>
    <m/>
    <m/>
    <m/>
    <m/>
    <m/>
    <m/>
    <m/>
    <m/>
    <m/>
    <m/>
    <m/>
    <m/>
    <m/>
    <m/>
    <m/>
    <m/>
    <m/>
  </r>
  <r>
    <x v="14"/>
    <x v="13"/>
    <m/>
    <m/>
    <m/>
    <m/>
    <m/>
    <m/>
    <m/>
    <m/>
    <m/>
    <m/>
    <m/>
    <m/>
    <m/>
    <m/>
    <m/>
    <m/>
    <m/>
  </r>
  <r>
    <x v="14"/>
    <x v="14"/>
    <m/>
    <m/>
    <m/>
    <m/>
    <m/>
    <m/>
    <m/>
    <m/>
    <m/>
    <m/>
    <m/>
    <m/>
    <m/>
    <m/>
    <m/>
    <m/>
    <m/>
  </r>
  <r>
    <x v="14"/>
    <x v="15"/>
    <m/>
    <m/>
    <m/>
    <m/>
    <m/>
    <m/>
    <m/>
    <m/>
    <m/>
    <m/>
    <m/>
    <m/>
    <m/>
    <m/>
    <m/>
    <m/>
    <m/>
  </r>
  <r>
    <x v="14"/>
    <x v="16"/>
    <m/>
    <m/>
    <m/>
    <m/>
    <m/>
    <m/>
    <m/>
    <m/>
    <m/>
    <m/>
    <m/>
    <m/>
    <m/>
    <m/>
    <m/>
    <m/>
    <m/>
  </r>
  <r>
    <x v="14"/>
    <x v="17"/>
    <m/>
    <m/>
    <m/>
    <m/>
    <m/>
    <m/>
    <m/>
    <m/>
    <m/>
    <m/>
    <m/>
    <m/>
    <m/>
    <m/>
    <m/>
    <m/>
    <m/>
  </r>
  <r>
    <x v="14"/>
    <x v="18"/>
    <m/>
    <m/>
    <m/>
    <m/>
    <m/>
    <m/>
    <m/>
    <m/>
    <m/>
    <m/>
    <m/>
    <m/>
    <m/>
    <m/>
    <m/>
    <m/>
    <m/>
  </r>
  <r>
    <x v="14"/>
    <x v="19"/>
    <m/>
    <m/>
    <m/>
    <m/>
    <m/>
    <m/>
    <m/>
    <m/>
    <m/>
    <m/>
    <m/>
    <m/>
    <m/>
    <m/>
    <m/>
    <m/>
    <m/>
  </r>
  <r>
    <x v="14"/>
    <x v="20"/>
    <m/>
    <m/>
    <m/>
    <m/>
    <m/>
    <m/>
    <m/>
    <m/>
    <m/>
    <m/>
    <m/>
    <m/>
    <m/>
    <m/>
    <m/>
    <m/>
    <m/>
  </r>
  <r>
    <x v="14"/>
    <x v="21"/>
    <m/>
    <m/>
    <m/>
    <m/>
    <m/>
    <m/>
    <m/>
    <m/>
    <m/>
    <m/>
    <m/>
    <m/>
    <m/>
    <m/>
    <m/>
    <m/>
    <m/>
  </r>
  <r>
    <x v="14"/>
    <x v="22"/>
    <m/>
    <m/>
    <m/>
    <m/>
    <m/>
    <m/>
    <m/>
    <m/>
    <m/>
    <m/>
    <m/>
    <m/>
    <m/>
    <m/>
    <m/>
    <m/>
    <m/>
  </r>
  <r>
    <x v="14"/>
    <x v="23"/>
    <m/>
    <m/>
    <m/>
    <m/>
    <m/>
    <m/>
    <m/>
    <m/>
    <m/>
    <m/>
    <m/>
    <m/>
    <m/>
    <m/>
    <m/>
    <m/>
    <m/>
  </r>
  <r>
    <x v="14"/>
    <x v="24"/>
    <m/>
    <m/>
    <m/>
    <m/>
    <m/>
    <m/>
    <m/>
    <m/>
    <m/>
    <m/>
    <m/>
    <m/>
    <m/>
    <m/>
    <m/>
    <m/>
    <m/>
  </r>
  <r>
    <x v="14"/>
    <x v="25"/>
    <m/>
    <m/>
    <m/>
    <m/>
    <m/>
    <m/>
    <m/>
    <m/>
    <m/>
    <m/>
    <m/>
    <m/>
    <m/>
    <m/>
    <m/>
    <m/>
    <m/>
  </r>
  <r>
    <x v="14"/>
    <x v="26"/>
    <m/>
    <m/>
    <m/>
    <m/>
    <m/>
    <m/>
    <m/>
    <m/>
    <m/>
    <m/>
    <m/>
    <m/>
    <m/>
    <m/>
    <m/>
    <m/>
    <m/>
  </r>
  <r>
    <x v="14"/>
    <x v="27"/>
    <m/>
    <m/>
    <m/>
    <m/>
    <m/>
    <m/>
    <m/>
    <m/>
    <m/>
    <m/>
    <m/>
    <m/>
    <m/>
    <m/>
    <m/>
    <m/>
    <m/>
  </r>
  <r>
    <x v="14"/>
    <x v="28"/>
    <m/>
    <m/>
    <m/>
    <m/>
    <m/>
    <m/>
    <m/>
    <m/>
    <m/>
    <m/>
    <m/>
    <m/>
    <m/>
    <m/>
    <m/>
    <m/>
    <m/>
  </r>
  <r>
    <x v="14"/>
    <x v="29"/>
    <m/>
    <m/>
    <m/>
    <m/>
    <m/>
    <m/>
    <m/>
    <m/>
    <m/>
    <m/>
    <m/>
    <m/>
    <m/>
    <m/>
    <m/>
    <m/>
    <m/>
  </r>
  <r>
    <x v="14"/>
    <x v="30"/>
    <m/>
    <m/>
    <m/>
    <m/>
    <m/>
    <m/>
    <m/>
    <m/>
    <m/>
    <m/>
    <m/>
    <m/>
    <m/>
    <m/>
    <m/>
    <m/>
    <m/>
  </r>
  <r>
    <x v="14"/>
    <x v="31"/>
    <n v="42"/>
    <m/>
    <m/>
    <m/>
    <m/>
    <m/>
    <n v="35"/>
    <n v="35"/>
    <m/>
    <m/>
    <m/>
    <n v="11"/>
    <m/>
    <n v="10"/>
    <n v="3"/>
    <m/>
    <m/>
  </r>
  <r>
    <x v="14"/>
    <x v="32"/>
    <m/>
    <m/>
    <m/>
    <m/>
    <m/>
    <m/>
    <m/>
    <m/>
    <m/>
    <m/>
    <m/>
    <m/>
    <m/>
    <m/>
    <m/>
    <m/>
    <m/>
  </r>
  <r>
    <x v="14"/>
    <x v="33"/>
    <m/>
    <m/>
    <m/>
    <m/>
    <m/>
    <m/>
    <m/>
    <m/>
    <m/>
    <m/>
    <m/>
    <m/>
    <m/>
    <m/>
    <m/>
    <m/>
    <m/>
  </r>
  <r>
    <x v="14"/>
    <x v="34"/>
    <m/>
    <m/>
    <m/>
    <m/>
    <m/>
    <m/>
    <m/>
    <m/>
    <m/>
    <m/>
    <m/>
    <m/>
    <m/>
    <m/>
    <m/>
    <m/>
    <m/>
  </r>
  <r>
    <x v="14"/>
    <x v="35"/>
    <m/>
    <m/>
    <m/>
    <m/>
    <m/>
    <m/>
    <m/>
    <m/>
    <m/>
    <m/>
    <m/>
    <m/>
    <m/>
    <m/>
    <m/>
    <m/>
    <m/>
  </r>
  <r>
    <x v="14"/>
    <x v="36"/>
    <m/>
    <m/>
    <m/>
    <m/>
    <m/>
    <m/>
    <m/>
    <m/>
    <m/>
    <m/>
    <m/>
    <m/>
    <m/>
    <m/>
    <m/>
    <m/>
    <m/>
  </r>
  <r>
    <x v="14"/>
    <x v="37"/>
    <m/>
    <m/>
    <m/>
    <m/>
    <m/>
    <m/>
    <m/>
    <m/>
    <m/>
    <m/>
    <m/>
    <m/>
    <m/>
    <m/>
    <m/>
    <m/>
    <m/>
  </r>
  <r>
    <x v="14"/>
    <x v="38"/>
    <m/>
    <m/>
    <m/>
    <m/>
    <m/>
    <m/>
    <m/>
    <m/>
    <m/>
    <m/>
    <m/>
    <m/>
    <m/>
    <m/>
    <m/>
    <m/>
    <m/>
  </r>
  <r>
    <x v="14"/>
    <x v="39"/>
    <m/>
    <m/>
    <m/>
    <m/>
    <m/>
    <m/>
    <m/>
    <m/>
    <m/>
    <m/>
    <m/>
    <m/>
    <m/>
    <m/>
    <m/>
    <m/>
    <m/>
  </r>
  <r>
    <x v="14"/>
    <x v="40"/>
    <m/>
    <m/>
    <m/>
    <m/>
    <m/>
    <m/>
    <m/>
    <m/>
    <m/>
    <m/>
    <m/>
    <m/>
    <m/>
    <m/>
    <m/>
    <m/>
    <m/>
  </r>
  <r>
    <x v="14"/>
    <x v="41"/>
    <m/>
    <m/>
    <m/>
    <m/>
    <m/>
    <m/>
    <m/>
    <m/>
    <m/>
    <m/>
    <m/>
    <m/>
    <m/>
    <m/>
    <m/>
    <m/>
    <m/>
  </r>
  <r>
    <x v="14"/>
    <x v="42"/>
    <m/>
    <m/>
    <m/>
    <m/>
    <m/>
    <m/>
    <m/>
    <m/>
    <m/>
    <m/>
    <m/>
    <m/>
    <m/>
    <m/>
    <m/>
    <m/>
    <m/>
  </r>
  <r>
    <x v="14"/>
    <x v="43"/>
    <m/>
    <m/>
    <m/>
    <m/>
    <m/>
    <m/>
    <m/>
    <m/>
    <m/>
    <m/>
    <m/>
    <m/>
    <m/>
    <m/>
    <m/>
    <m/>
    <m/>
  </r>
  <r>
    <x v="14"/>
    <x v="44"/>
    <m/>
    <m/>
    <m/>
    <m/>
    <m/>
    <m/>
    <m/>
    <m/>
    <m/>
    <m/>
    <m/>
    <m/>
    <m/>
    <m/>
    <m/>
    <m/>
    <m/>
  </r>
  <r>
    <x v="14"/>
    <x v="45"/>
    <m/>
    <m/>
    <m/>
    <m/>
    <m/>
    <m/>
    <m/>
    <m/>
    <m/>
    <m/>
    <m/>
    <m/>
    <m/>
    <m/>
    <m/>
    <m/>
    <m/>
  </r>
  <r>
    <x v="14"/>
    <x v="46"/>
    <m/>
    <m/>
    <m/>
    <m/>
    <m/>
    <m/>
    <m/>
    <m/>
    <m/>
    <m/>
    <m/>
    <m/>
    <m/>
    <m/>
    <m/>
    <m/>
    <m/>
  </r>
  <r>
    <x v="14"/>
    <x v="47"/>
    <m/>
    <m/>
    <m/>
    <m/>
    <m/>
    <m/>
    <m/>
    <m/>
    <m/>
    <m/>
    <m/>
    <m/>
    <m/>
    <m/>
    <m/>
    <m/>
    <m/>
  </r>
  <r>
    <x v="14"/>
    <x v="48"/>
    <m/>
    <m/>
    <m/>
    <m/>
    <m/>
    <m/>
    <m/>
    <m/>
    <m/>
    <m/>
    <m/>
    <m/>
    <m/>
    <m/>
    <m/>
    <m/>
    <m/>
  </r>
  <r>
    <x v="14"/>
    <x v="49"/>
    <m/>
    <m/>
    <m/>
    <m/>
    <m/>
    <m/>
    <m/>
    <m/>
    <m/>
    <m/>
    <m/>
    <m/>
    <m/>
    <m/>
    <m/>
    <m/>
    <m/>
  </r>
  <r>
    <x v="14"/>
    <x v="50"/>
    <m/>
    <m/>
    <m/>
    <m/>
    <m/>
    <m/>
    <m/>
    <m/>
    <m/>
    <m/>
    <m/>
    <m/>
    <m/>
    <m/>
    <m/>
    <m/>
    <m/>
  </r>
  <r>
    <x v="14"/>
    <x v="51"/>
    <m/>
    <m/>
    <m/>
    <m/>
    <m/>
    <m/>
    <m/>
    <m/>
    <m/>
    <m/>
    <m/>
    <m/>
    <m/>
    <m/>
    <m/>
    <m/>
    <m/>
  </r>
  <r>
    <x v="15"/>
    <x v="0"/>
    <m/>
    <m/>
    <m/>
    <m/>
    <m/>
    <m/>
    <m/>
    <m/>
    <m/>
    <m/>
    <m/>
    <m/>
    <m/>
    <m/>
    <m/>
    <m/>
    <m/>
  </r>
  <r>
    <x v="15"/>
    <x v="1"/>
    <m/>
    <m/>
    <m/>
    <m/>
    <m/>
    <m/>
    <m/>
    <m/>
    <m/>
    <m/>
    <m/>
    <m/>
    <m/>
    <m/>
    <m/>
    <m/>
    <m/>
  </r>
  <r>
    <x v="15"/>
    <x v="2"/>
    <m/>
    <m/>
    <m/>
    <m/>
    <m/>
    <m/>
    <m/>
    <m/>
    <m/>
    <m/>
    <m/>
    <m/>
    <m/>
    <m/>
    <m/>
    <m/>
    <m/>
  </r>
  <r>
    <x v="15"/>
    <x v="3"/>
    <m/>
    <m/>
    <m/>
    <m/>
    <m/>
    <m/>
    <m/>
    <m/>
    <m/>
    <m/>
    <m/>
    <m/>
    <m/>
    <m/>
    <m/>
    <m/>
    <m/>
  </r>
  <r>
    <x v="15"/>
    <x v="4"/>
    <m/>
    <m/>
    <m/>
    <m/>
    <m/>
    <m/>
    <m/>
    <m/>
    <m/>
    <m/>
    <m/>
    <m/>
    <m/>
    <m/>
    <m/>
    <m/>
    <m/>
  </r>
  <r>
    <x v="15"/>
    <x v="5"/>
    <m/>
    <m/>
    <m/>
    <m/>
    <m/>
    <m/>
    <m/>
    <m/>
    <m/>
    <m/>
    <m/>
    <m/>
    <m/>
    <m/>
    <m/>
    <m/>
    <m/>
  </r>
  <r>
    <x v="15"/>
    <x v="6"/>
    <m/>
    <m/>
    <m/>
    <m/>
    <m/>
    <m/>
    <m/>
    <m/>
    <m/>
    <m/>
    <m/>
    <m/>
    <m/>
    <m/>
    <m/>
    <m/>
    <m/>
  </r>
  <r>
    <x v="15"/>
    <x v="7"/>
    <m/>
    <m/>
    <m/>
    <m/>
    <m/>
    <m/>
    <m/>
    <m/>
    <m/>
    <m/>
    <m/>
    <m/>
    <m/>
    <m/>
    <m/>
    <m/>
    <m/>
  </r>
  <r>
    <x v="15"/>
    <x v="8"/>
    <m/>
    <m/>
    <m/>
    <m/>
    <m/>
    <m/>
    <m/>
    <m/>
    <m/>
    <m/>
    <m/>
    <m/>
    <m/>
    <m/>
    <m/>
    <m/>
    <m/>
  </r>
  <r>
    <x v="15"/>
    <x v="9"/>
    <m/>
    <m/>
    <m/>
    <m/>
    <m/>
    <m/>
    <m/>
    <m/>
    <m/>
    <m/>
    <m/>
    <m/>
    <m/>
    <m/>
    <m/>
    <m/>
    <m/>
  </r>
  <r>
    <x v="15"/>
    <x v="10"/>
    <m/>
    <m/>
    <m/>
    <m/>
    <m/>
    <m/>
    <m/>
    <m/>
    <m/>
    <m/>
    <m/>
    <m/>
    <m/>
    <m/>
    <m/>
    <m/>
    <m/>
  </r>
  <r>
    <x v="15"/>
    <x v="11"/>
    <m/>
    <m/>
    <m/>
    <m/>
    <m/>
    <m/>
    <m/>
    <m/>
    <m/>
    <m/>
    <m/>
    <m/>
    <m/>
    <m/>
    <m/>
    <m/>
    <m/>
  </r>
  <r>
    <x v="15"/>
    <x v="12"/>
    <m/>
    <m/>
    <m/>
    <m/>
    <m/>
    <m/>
    <m/>
    <m/>
    <m/>
    <m/>
    <m/>
    <m/>
    <m/>
    <m/>
    <m/>
    <m/>
    <m/>
  </r>
  <r>
    <x v="15"/>
    <x v="13"/>
    <m/>
    <m/>
    <m/>
    <m/>
    <m/>
    <m/>
    <m/>
    <m/>
    <m/>
    <m/>
    <m/>
    <m/>
    <m/>
    <m/>
    <m/>
    <m/>
    <m/>
  </r>
  <r>
    <x v="15"/>
    <x v="14"/>
    <m/>
    <m/>
    <m/>
    <m/>
    <m/>
    <m/>
    <m/>
    <m/>
    <m/>
    <m/>
    <m/>
    <m/>
    <m/>
    <m/>
    <m/>
    <m/>
    <m/>
  </r>
  <r>
    <x v="15"/>
    <x v="15"/>
    <m/>
    <m/>
    <m/>
    <m/>
    <m/>
    <m/>
    <m/>
    <m/>
    <m/>
    <m/>
    <m/>
    <m/>
    <m/>
    <m/>
    <m/>
    <m/>
    <m/>
  </r>
  <r>
    <x v="15"/>
    <x v="16"/>
    <m/>
    <m/>
    <m/>
    <m/>
    <m/>
    <m/>
    <m/>
    <m/>
    <m/>
    <m/>
    <m/>
    <m/>
    <m/>
    <m/>
    <m/>
    <m/>
    <m/>
  </r>
  <r>
    <x v="15"/>
    <x v="17"/>
    <m/>
    <m/>
    <m/>
    <m/>
    <m/>
    <m/>
    <m/>
    <m/>
    <m/>
    <m/>
    <m/>
    <m/>
    <m/>
    <m/>
    <m/>
    <m/>
    <m/>
  </r>
  <r>
    <x v="15"/>
    <x v="18"/>
    <m/>
    <m/>
    <m/>
    <m/>
    <m/>
    <m/>
    <m/>
    <m/>
    <m/>
    <m/>
    <m/>
    <m/>
    <m/>
    <m/>
    <m/>
    <m/>
    <m/>
  </r>
  <r>
    <x v="15"/>
    <x v="19"/>
    <m/>
    <m/>
    <m/>
    <m/>
    <m/>
    <m/>
    <m/>
    <m/>
    <m/>
    <m/>
    <m/>
    <m/>
    <m/>
    <m/>
    <m/>
    <m/>
    <m/>
  </r>
  <r>
    <x v="15"/>
    <x v="20"/>
    <m/>
    <m/>
    <m/>
    <m/>
    <m/>
    <m/>
    <m/>
    <m/>
    <m/>
    <m/>
    <m/>
    <m/>
    <m/>
    <m/>
    <m/>
    <m/>
    <m/>
  </r>
  <r>
    <x v="15"/>
    <x v="21"/>
    <m/>
    <m/>
    <m/>
    <m/>
    <m/>
    <m/>
    <m/>
    <m/>
    <m/>
    <m/>
    <m/>
    <m/>
    <m/>
    <m/>
    <m/>
    <m/>
    <m/>
  </r>
  <r>
    <x v="15"/>
    <x v="22"/>
    <m/>
    <m/>
    <m/>
    <m/>
    <m/>
    <m/>
    <m/>
    <m/>
    <m/>
    <m/>
    <m/>
    <m/>
    <m/>
    <m/>
    <m/>
    <m/>
    <m/>
  </r>
  <r>
    <x v="15"/>
    <x v="23"/>
    <m/>
    <m/>
    <m/>
    <m/>
    <m/>
    <m/>
    <m/>
    <m/>
    <m/>
    <m/>
    <m/>
    <m/>
    <m/>
    <m/>
    <m/>
    <m/>
    <m/>
  </r>
  <r>
    <x v="15"/>
    <x v="24"/>
    <m/>
    <m/>
    <m/>
    <m/>
    <m/>
    <m/>
    <m/>
    <m/>
    <m/>
    <m/>
    <m/>
    <m/>
    <m/>
    <m/>
    <m/>
    <m/>
    <m/>
  </r>
  <r>
    <x v="15"/>
    <x v="25"/>
    <m/>
    <m/>
    <m/>
    <m/>
    <m/>
    <m/>
    <m/>
    <m/>
    <m/>
    <m/>
    <m/>
    <m/>
    <m/>
    <m/>
    <m/>
    <m/>
    <m/>
  </r>
  <r>
    <x v="15"/>
    <x v="26"/>
    <m/>
    <m/>
    <m/>
    <m/>
    <m/>
    <m/>
    <m/>
    <m/>
    <m/>
    <m/>
    <m/>
    <m/>
    <m/>
    <m/>
    <m/>
    <m/>
    <m/>
  </r>
  <r>
    <x v="15"/>
    <x v="27"/>
    <m/>
    <m/>
    <m/>
    <m/>
    <m/>
    <m/>
    <m/>
    <m/>
    <m/>
    <m/>
    <m/>
    <m/>
    <m/>
    <m/>
    <m/>
    <m/>
    <m/>
  </r>
  <r>
    <x v="15"/>
    <x v="28"/>
    <m/>
    <m/>
    <m/>
    <m/>
    <m/>
    <m/>
    <m/>
    <m/>
    <m/>
    <m/>
    <m/>
    <m/>
    <m/>
    <m/>
    <m/>
    <m/>
    <m/>
  </r>
  <r>
    <x v="15"/>
    <x v="29"/>
    <m/>
    <m/>
    <m/>
    <m/>
    <m/>
    <m/>
    <n v="3"/>
    <m/>
    <n v="5"/>
    <m/>
    <n v="3"/>
    <n v="5"/>
    <n v="1"/>
    <n v="3"/>
    <m/>
    <n v="8"/>
    <m/>
  </r>
  <r>
    <x v="15"/>
    <x v="30"/>
    <m/>
    <m/>
    <m/>
    <m/>
    <m/>
    <m/>
    <n v="4"/>
    <m/>
    <n v="2"/>
    <m/>
    <n v="4"/>
    <n v="5"/>
    <m/>
    <n v="4"/>
    <m/>
    <n v="4"/>
    <m/>
  </r>
  <r>
    <x v="15"/>
    <x v="31"/>
    <m/>
    <m/>
    <m/>
    <m/>
    <m/>
    <m/>
    <m/>
    <m/>
    <m/>
    <m/>
    <m/>
    <m/>
    <m/>
    <m/>
    <m/>
    <m/>
    <m/>
  </r>
  <r>
    <x v="15"/>
    <x v="32"/>
    <m/>
    <m/>
    <m/>
    <m/>
    <m/>
    <m/>
    <m/>
    <m/>
    <m/>
    <m/>
    <m/>
    <m/>
    <m/>
    <m/>
    <m/>
    <m/>
    <m/>
  </r>
  <r>
    <x v="15"/>
    <x v="33"/>
    <m/>
    <m/>
    <m/>
    <m/>
    <m/>
    <m/>
    <m/>
    <m/>
    <m/>
    <m/>
    <m/>
    <m/>
    <m/>
    <m/>
    <m/>
    <m/>
    <m/>
  </r>
  <r>
    <x v="15"/>
    <x v="34"/>
    <m/>
    <m/>
    <m/>
    <m/>
    <m/>
    <m/>
    <m/>
    <m/>
    <m/>
    <m/>
    <m/>
    <m/>
    <m/>
    <m/>
    <m/>
    <m/>
    <m/>
  </r>
  <r>
    <x v="15"/>
    <x v="35"/>
    <m/>
    <m/>
    <m/>
    <m/>
    <m/>
    <m/>
    <m/>
    <m/>
    <m/>
    <m/>
    <m/>
    <m/>
    <m/>
    <m/>
    <m/>
    <m/>
    <m/>
  </r>
  <r>
    <x v="15"/>
    <x v="36"/>
    <m/>
    <m/>
    <m/>
    <m/>
    <m/>
    <m/>
    <m/>
    <m/>
    <m/>
    <m/>
    <m/>
    <m/>
    <m/>
    <m/>
    <m/>
    <m/>
    <m/>
  </r>
  <r>
    <x v="15"/>
    <x v="37"/>
    <m/>
    <m/>
    <m/>
    <m/>
    <m/>
    <m/>
    <m/>
    <m/>
    <m/>
    <m/>
    <m/>
    <m/>
    <m/>
    <m/>
    <m/>
    <m/>
    <m/>
  </r>
  <r>
    <x v="15"/>
    <x v="38"/>
    <m/>
    <m/>
    <m/>
    <m/>
    <m/>
    <m/>
    <m/>
    <m/>
    <m/>
    <m/>
    <m/>
    <m/>
    <m/>
    <m/>
    <m/>
    <m/>
    <m/>
  </r>
  <r>
    <x v="15"/>
    <x v="39"/>
    <m/>
    <m/>
    <m/>
    <m/>
    <m/>
    <m/>
    <n v="3"/>
    <m/>
    <n v="5"/>
    <m/>
    <n v="2"/>
    <n v="5"/>
    <n v="1"/>
    <n v="2"/>
    <m/>
    <n v="7"/>
    <m/>
  </r>
  <r>
    <x v="15"/>
    <x v="40"/>
    <m/>
    <m/>
    <m/>
    <m/>
    <m/>
    <m/>
    <m/>
    <m/>
    <m/>
    <m/>
    <m/>
    <m/>
    <m/>
    <m/>
    <m/>
    <m/>
    <m/>
  </r>
  <r>
    <x v="15"/>
    <x v="41"/>
    <m/>
    <m/>
    <m/>
    <m/>
    <m/>
    <m/>
    <m/>
    <m/>
    <m/>
    <m/>
    <m/>
    <m/>
    <m/>
    <m/>
    <m/>
    <m/>
    <m/>
  </r>
  <r>
    <x v="15"/>
    <x v="42"/>
    <m/>
    <m/>
    <m/>
    <m/>
    <m/>
    <m/>
    <m/>
    <m/>
    <m/>
    <m/>
    <m/>
    <m/>
    <m/>
    <m/>
    <m/>
    <m/>
    <m/>
  </r>
  <r>
    <x v="15"/>
    <x v="43"/>
    <m/>
    <m/>
    <m/>
    <m/>
    <m/>
    <m/>
    <m/>
    <m/>
    <m/>
    <m/>
    <m/>
    <m/>
    <m/>
    <m/>
    <m/>
    <m/>
    <m/>
  </r>
  <r>
    <x v="15"/>
    <x v="44"/>
    <m/>
    <m/>
    <m/>
    <m/>
    <m/>
    <m/>
    <m/>
    <m/>
    <m/>
    <m/>
    <m/>
    <m/>
    <m/>
    <m/>
    <m/>
    <m/>
    <m/>
  </r>
  <r>
    <x v="15"/>
    <x v="45"/>
    <m/>
    <m/>
    <m/>
    <m/>
    <m/>
    <m/>
    <m/>
    <m/>
    <m/>
    <m/>
    <m/>
    <m/>
    <m/>
    <m/>
    <m/>
    <m/>
    <m/>
  </r>
  <r>
    <x v="15"/>
    <x v="46"/>
    <m/>
    <m/>
    <m/>
    <m/>
    <m/>
    <m/>
    <m/>
    <m/>
    <m/>
    <m/>
    <m/>
    <m/>
    <m/>
    <m/>
    <m/>
    <m/>
    <m/>
  </r>
  <r>
    <x v="15"/>
    <x v="47"/>
    <m/>
    <m/>
    <m/>
    <m/>
    <m/>
    <m/>
    <m/>
    <m/>
    <m/>
    <m/>
    <m/>
    <m/>
    <m/>
    <m/>
    <m/>
    <m/>
    <m/>
  </r>
  <r>
    <x v="15"/>
    <x v="48"/>
    <m/>
    <m/>
    <m/>
    <m/>
    <m/>
    <m/>
    <m/>
    <m/>
    <m/>
    <m/>
    <m/>
    <m/>
    <m/>
    <m/>
    <m/>
    <m/>
    <m/>
  </r>
  <r>
    <x v="15"/>
    <x v="49"/>
    <m/>
    <m/>
    <m/>
    <m/>
    <m/>
    <m/>
    <m/>
    <m/>
    <m/>
    <m/>
    <m/>
    <m/>
    <m/>
    <m/>
    <m/>
    <m/>
    <m/>
  </r>
  <r>
    <x v="15"/>
    <x v="50"/>
    <m/>
    <m/>
    <m/>
    <m/>
    <m/>
    <m/>
    <m/>
    <m/>
    <m/>
    <m/>
    <m/>
    <m/>
    <m/>
    <m/>
    <m/>
    <m/>
    <m/>
  </r>
  <r>
    <x v="15"/>
    <x v="51"/>
    <m/>
    <m/>
    <m/>
    <m/>
    <m/>
    <m/>
    <m/>
    <m/>
    <m/>
    <m/>
    <m/>
    <m/>
    <m/>
    <m/>
    <m/>
    <m/>
    <m/>
  </r>
  <r>
    <x v="16"/>
    <x v="9"/>
    <m/>
    <m/>
    <m/>
    <m/>
    <m/>
    <m/>
    <n v="1"/>
    <m/>
    <m/>
    <m/>
    <n v="1"/>
    <m/>
    <n v="1"/>
    <m/>
    <m/>
    <n v="1"/>
    <m/>
  </r>
  <r>
    <x v="16"/>
    <x v="56"/>
    <n v="1"/>
    <m/>
    <n v="1"/>
    <m/>
    <n v="1"/>
    <m/>
    <n v="1"/>
    <m/>
    <m/>
    <n v="1"/>
    <m/>
    <n v="1"/>
    <n v="1"/>
    <n v="1"/>
    <m/>
    <n v="1"/>
    <m/>
  </r>
  <r>
    <x v="16"/>
    <x v="16"/>
    <n v="1"/>
    <m/>
    <n v="1"/>
    <m/>
    <n v="1"/>
    <m/>
    <m/>
    <m/>
    <m/>
    <m/>
    <m/>
    <m/>
    <m/>
    <m/>
    <m/>
    <m/>
    <m/>
  </r>
  <r>
    <x v="16"/>
    <x v="17"/>
    <n v="1"/>
    <m/>
    <n v="1"/>
    <m/>
    <n v="1"/>
    <m/>
    <m/>
    <m/>
    <m/>
    <n v="1"/>
    <m/>
    <m/>
    <n v="1"/>
    <m/>
    <m/>
    <n v="1"/>
    <m/>
  </r>
  <r>
    <x v="16"/>
    <x v="20"/>
    <n v="1"/>
    <n v="1"/>
    <n v="1"/>
    <n v="1"/>
    <n v="1"/>
    <n v="1"/>
    <m/>
    <m/>
    <m/>
    <m/>
    <m/>
    <n v="1"/>
    <n v="1"/>
    <m/>
    <n v="1"/>
    <n v="1"/>
    <m/>
  </r>
  <r>
    <x v="16"/>
    <x v="57"/>
    <n v="1"/>
    <n v="1"/>
    <n v="1"/>
    <n v="1"/>
    <n v="1"/>
    <n v="1"/>
    <m/>
    <m/>
    <n v="1"/>
    <m/>
    <m/>
    <m/>
    <n v="1"/>
    <m/>
    <n v="1"/>
    <n v="1"/>
    <m/>
  </r>
  <r>
    <x v="16"/>
    <x v="23"/>
    <m/>
    <m/>
    <m/>
    <m/>
    <m/>
    <m/>
    <m/>
    <m/>
    <m/>
    <m/>
    <m/>
    <m/>
    <n v="1"/>
    <m/>
    <m/>
    <n v="1"/>
    <m/>
  </r>
  <r>
    <x v="16"/>
    <x v="24"/>
    <n v="1"/>
    <m/>
    <n v="1"/>
    <m/>
    <n v="1"/>
    <m/>
    <n v="1"/>
    <m/>
    <m/>
    <m/>
    <m/>
    <m/>
    <m/>
    <m/>
    <m/>
    <m/>
    <m/>
  </r>
  <r>
    <x v="16"/>
    <x v="26"/>
    <n v="1"/>
    <m/>
    <n v="1"/>
    <m/>
    <n v="1"/>
    <m/>
    <m/>
    <m/>
    <m/>
    <m/>
    <m/>
    <m/>
    <m/>
    <m/>
    <m/>
    <m/>
    <m/>
  </r>
  <r>
    <x v="16"/>
    <x v="58"/>
    <m/>
    <m/>
    <m/>
    <m/>
    <m/>
    <m/>
    <m/>
    <m/>
    <n v="1"/>
    <m/>
    <n v="1"/>
    <m/>
    <n v="1"/>
    <n v="1"/>
    <m/>
    <n v="1"/>
    <m/>
  </r>
  <r>
    <x v="16"/>
    <x v="27"/>
    <m/>
    <n v="1"/>
    <m/>
    <n v="1"/>
    <m/>
    <n v="1"/>
    <m/>
    <m/>
    <m/>
    <m/>
    <m/>
    <n v="2"/>
    <m/>
    <m/>
    <m/>
    <m/>
    <m/>
  </r>
  <r>
    <x v="16"/>
    <x v="59"/>
    <m/>
    <m/>
    <m/>
    <m/>
    <m/>
    <m/>
    <n v="3"/>
    <n v="1"/>
    <n v="1"/>
    <m/>
    <m/>
    <m/>
    <n v="1"/>
    <m/>
    <n v="1"/>
    <n v="1"/>
    <m/>
  </r>
  <r>
    <x v="16"/>
    <x v="33"/>
    <n v="1"/>
    <m/>
    <n v="1"/>
    <m/>
    <n v="1"/>
    <m/>
    <m/>
    <n v="1"/>
    <m/>
    <m/>
    <m/>
    <m/>
    <n v="1"/>
    <m/>
    <m/>
    <n v="1"/>
    <m/>
  </r>
  <r>
    <x v="16"/>
    <x v="36"/>
    <n v="1"/>
    <n v="1"/>
    <n v="1"/>
    <n v="1"/>
    <n v="5"/>
    <n v="7"/>
    <n v="6"/>
    <n v="6"/>
    <n v="4"/>
    <m/>
    <m/>
    <m/>
    <n v="1"/>
    <m/>
    <m/>
    <n v="17"/>
    <m/>
  </r>
  <r>
    <x v="16"/>
    <x v="60"/>
    <m/>
    <m/>
    <m/>
    <m/>
    <m/>
    <m/>
    <m/>
    <m/>
    <m/>
    <m/>
    <m/>
    <m/>
    <n v="1"/>
    <m/>
    <n v="1"/>
    <n v="1"/>
    <m/>
  </r>
  <r>
    <x v="16"/>
    <x v="61"/>
    <m/>
    <m/>
    <m/>
    <m/>
    <m/>
    <m/>
    <m/>
    <m/>
    <m/>
    <m/>
    <m/>
    <m/>
    <n v="1"/>
    <m/>
    <m/>
    <n v="1"/>
    <m/>
  </r>
  <r>
    <x v="17"/>
    <x v="0"/>
    <m/>
    <m/>
    <m/>
    <m/>
    <m/>
    <m/>
    <m/>
    <m/>
    <m/>
    <m/>
    <m/>
    <m/>
    <m/>
    <m/>
    <m/>
    <m/>
    <m/>
  </r>
  <r>
    <x v="17"/>
    <x v="1"/>
    <m/>
    <m/>
    <m/>
    <m/>
    <m/>
    <m/>
    <m/>
    <m/>
    <m/>
    <m/>
    <m/>
    <m/>
    <m/>
    <m/>
    <m/>
    <m/>
    <m/>
  </r>
  <r>
    <x v="17"/>
    <x v="2"/>
    <m/>
    <m/>
    <m/>
    <m/>
    <m/>
    <m/>
    <m/>
    <m/>
    <m/>
    <m/>
    <m/>
    <m/>
    <m/>
    <m/>
    <m/>
    <m/>
    <m/>
  </r>
  <r>
    <x v="17"/>
    <x v="3"/>
    <m/>
    <m/>
    <m/>
    <m/>
    <m/>
    <m/>
    <m/>
    <m/>
    <m/>
    <m/>
    <m/>
    <m/>
    <m/>
    <m/>
    <m/>
    <m/>
    <m/>
  </r>
  <r>
    <x v="17"/>
    <x v="4"/>
    <m/>
    <m/>
    <m/>
    <m/>
    <m/>
    <m/>
    <m/>
    <m/>
    <m/>
    <m/>
    <m/>
    <m/>
    <m/>
    <m/>
    <m/>
    <m/>
    <m/>
  </r>
  <r>
    <x v="17"/>
    <x v="5"/>
    <m/>
    <m/>
    <m/>
    <m/>
    <m/>
    <m/>
    <m/>
    <m/>
    <m/>
    <m/>
    <m/>
    <m/>
    <m/>
    <n v="2"/>
    <m/>
    <m/>
    <m/>
  </r>
  <r>
    <x v="17"/>
    <x v="6"/>
    <m/>
    <m/>
    <m/>
    <m/>
    <m/>
    <m/>
    <m/>
    <m/>
    <m/>
    <m/>
    <m/>
    <m/>
    <m/>
    <m/>
    <m/>
    <m/>
    <m/>
  </r>
  <r>
    <x v="17"/>
    <x v="7"/>
    <m/>
    <m/>
    <m/>
    <m/>
    <m/>
    <m/>
    <m/>
    <m/>
    <m/>
    <m/>
    <m/>
    <m/>
    <m/>
    <m/>
    <m/>
    <m/>
    <m/>
  </r>
  <r>
    <x v="17"/>
    <x v="8"/>
    <m/>
    <m/>
    <m/>
    <m/>
    <m/>
    <m/>
    <m/>
    <m/>
    <m/>
    <m/>
    <m/>
    <m/>
    <m/>
    <m/>
    <m/>
    <m/>
    <m/>
  </r>
  <r>
    <x v="17"/>
    <x v="9"/>
    <m/>
    <m/>
    <m/>
    <m/>
    <m/>
    <m/>
    <m/>
    <m/>
    <m/>
    <m/>
    <m/>
    <m/>
    <m/>
    <m/>
    <m/>
    <m/>
    <m/>
  </r>
  <r>
    <x v="17"/>
    <x v="10"/>
    <m/>
    <m/>
    <m/>
    <m/>
    <m/>
    <m/>
    <m/>
    <m/>
    <m/>
    <m/>
    <m/>
    <m/>
    <m/>
    <m/>
    <m/>
    <m/>
    <m/>
  </r>
  <r>
    <x v="17"/>
    <x v="11"/>
    <m/>
    <m/>
    <m/>
    <m/>
    <m/>
    <m/>
    <m/>
    <m/>
    <m/>
    <m/>
    <m/>
    <m/>
    <m/>
    <m/>
    <m/>
    <m/>
    <m/>
  </r>
  <r>
    <x v="17"/>
    <x v="12"/>
    <m/>
    <m/>
    <m/>
    <m/>
    <m/>
    <m/>
    <m/>
    <m/>
    <m/>
    <m/>
    <m/>
    <m/>
    <m/>
    <m/>
    <m/>
    <m/>
    <m/>
  </r>
  <r>
    <x v="17"/>
    <x v="13"/>
    <m/>
    <m/>
    <m/>
    <m/>
    <m/>
    <m/>
    <m/>
    <m/>
    <m/>
    <m/>
    <m/>
    <m/>
    <m/>
    <m/>
    <m/>
    <m/>
    <m/>
  </r>
  <r>
    <x v="17"/>
    <x v="14"/>
    <m/>
    <m/>
    <m/>
    <m/>
    <m/>
    <m/>
    <m/>
    <m/>
    <m/>
    <m/>
    <m/>
    <m/>
    <m/>
    <m/>
    <m/>
    <m/>
    <m/>
  </r>
  <r>
    <x v="17"/>
    <x v="15"/>
    <m/>
    <m/>
    <m/>
    <m/>
    <m/>
    <m/>
    <m/>
    <m/>
    <m/>
    <m/>
    <m/>
    <m/>
    <m/>
    <m/>
    <m/>
    <m/>
    <m/>
  </r>
  <r>
    <x v="17"/>
    <x v="16"/>
    <m/>
    <m/>
    <m/>
    <m/>
    <m/>
    <m/>
    <m/>
    <m/>
    <m/>
    <m/>
    <m/>
    <m/>
    <m/>
    <m/>
    <m/>
    <m/>
    <m/>
  </r>
  <r>
    <x v="17"/>
    <x v="17"/>
    <m/>
    <m/>
    <m/>
    <m/>
    <m/>
    <m/>
    <m/>
    <m/>
    <m/>
    <m/>
    <m/>
    <m/>
    <m/>
    <m/>
    <m/>
    <m/>
    <m/>
  </r>
  <r>
    <x v="17"/>
    <x v="18"/>
    <m/>
    <m/>
    <m/>
    <m/>
    <m/>
    <m/>
    <m/>
    <m/>
    <m/>
    <m/>
    <m/>
    <m/>
    <m/>
    <m/>
    <m/>
    <m/>
    <m/>
  </r>
  <r>
    <x v="17"/>
    <x v="19"/>
    <m/>
    <m/>
    <m/>
    <m/>
    <m/>
    <m/>
    <m/>
    <m/>
    <m/>
    <m/>
    <m/>
    <m/>
    <m/>
    <m/>
    <m/>
    <m/>
    <m/>
  </r>
  <r>
    <x v="17"/>
    <x v="20"/>
    <m/>
    <m/>
    <m/>
    <m/>
    <m/>
    <m/>
    <m/>
    <m/>
    <m/>
    <m/>
    <m/>
    <m/>
    <m/>
    <m/>
    <m/>
    <m/>
    <m/>
  </r>
  <r>
    <x v="17"/>
    <x v="21"/>
    <m/>
    <m/>
    <m/>
    <m/>
    <m/>
    <m/>
    <m/>
    <m/>
    <m/>
    <m/>
    <m/>
    <m/>
    <m/>
    <m/>
    <m/>
    <m/>
    <m/>
  </r>
  <r>
    <x v="17"/>
    <x v="22"/>
    <m/>
    <m/>
    <m/>
    <m/>
    <m/>
    <m/>
    <m/>
    <m/>
    <m/>
    <m/>
    <m/>
    <m/>
    <m/>
    <m/>
    <m/>
    <m/>
    <m/>
  </r>
  <r>
    <x v="17"/>
    <x v="23"/>
    <m/>
    <m/>
    <m/>
    <m/>
    <m/>
    <m/>
    <m/>
    <m/>
    <m/>
    <m/>
    <m/>
    <m/>
    <m/>
    <m/>
    <m/>
    <m/>
    <m/>
  </r>
  <r>
    <x v="17"/>
    <x v="24"/>
    <m/>
    <m/>
    <m/>
    <m/>
    <m/>
    <m/>
    <m/>
    <m/>
    <m/>
    <m/>
    <m/>
    <m/>
    <m/>
    <m/>
    <m/>
    <m/>
    <m/>
  </r>
  <r>
    <x v="17"/>
    <x v="25"/>
    <m/>
    <m/>
    <m/>
    <m/>
    <m/>
    <m/>
    <m/>
    <m/>
    <m/>
    <m/>
    <m/>
    <m/>
    <m/>
    <m/>
    <m/>
    <m/>
    <m/>
  </r>
  <r>
    <x v="17"/>
    <x v="26"/>
    <m/>
    <m/>
    <m/>
    <m/>
    <m/>
    <m/>
    <m/>
    <m/>
    <m/>
    <m/>
    <m/>
    <m/>
    <m/>
    <m/>
    <m/>
    <m/>
    <m/>
  </r>
  <r>
    <x v="17"/>
    <x v="27"/>
    <m/>
    <m/>
    <m/>
    <m/>
    <m/>
    <m/>
    <m/>
    <m/>
    <m/>
    <m/>
    <m/>
    <m/>
    <m/>
    <m/>
    <m/>
    <m/>
    <m/>
  </r>
  <r>
    <x v="17"/>
    <x v="28"/>
    <m/>
    <m/>
    <m/>
    <m/>
    <m/>
    <m/>
    <m/>
    <m/>
    <m/>
    <m/>
    <m/>
    <m/>
    <m/>
    <m/>
    <m/>
    <m/>
    <m/>
  </r>
  <r>
    <x v="17"/>
    <x v="29"/>
    <m/>
    <m/>
    <m/>
    <m/>
    <m/>
    <m/>
    <m/>
    <m/>
    <m/>
    <m/>
    <m/>
    <m/>
    <m/>
    <m/>
    <m/>
    <m/>
    <m/>
  </r>
  <r>
    <x v="17"/>
    <x v="30"/>
    <m/>
    <m/>
    <m/>
    <m/>
    <m/>
    <m/>
    <m/>
    <m/>
    <m/>
    <m/>
    <m/>
    <m/>
    <m/>
    <m/>
    <m/>
    <m/>
    <m/>
  </r>
  <r>
    <x v="17"/>
    <x v="31"/>
    <m/>
    <m/>
    <m/>
    <m/>
    <m/>
    <m/>
    <m/>
    <m/>
    <m/>
    <m/>
    <m/>
    <n v="2"/>
    <m/>
    <m/>
    <m/>
    <n v="6"/>
    <m/>
  </r>
  <r>
    <x v="17"/>
    <x v="32"/>
    <m/>
    <m/>
    <m/>
    <m/>
    <m/>
    <m/>
    <m/>
    <m/>
    <m/>
    <m/>
    <m/>
    <m/>
    <m/>
    <m/>
    <m/>
    <m/>
    <m/>
  </r>
  <r>
    <x v="17"/>
    <x v="33"/>
    <m/>
    <m/>
    <m/>
    <m/>
    <m/>
    <m/>
    <m/>
    <m/>
    <m/>
    <m/>
    <m/>
    <m/>
    <m/>
    <m/>
    <m/>
    <m/>
    <m/>
  </r>
  <r>
    <x v="17"/>
    <x v="34"/>
    <m/>
    <m/>
    <m/>
    <m/>
    <m/>
    <m/>
    <m/>
    <m/>
    <m/>
    <m/>
    <m/>
    <m/>
    <m/>
    <m/>
    <m/>
    <m/>
    <m/>
  </r>
  <r>
    <x v="17"/>
    <x v="35"/>
    <m/>
    <m/>
    <m/>
    <m/>
    <m/>
    <m/>
    <m/>
    <m/>
    <m/>
    <m/>
    <m/>
    <m/>
    <m/>
    <m/>
    <m/>
    <m/>
    <m/>
  </r>
  <r>
    <x v="17"/>
    <x v="36"/>
    <m/>
    <m/>
    <m/>
    <m/>
    <m/>
    <m/>
    <m/>
    <m/>
    <m/>
    <m/>
    <m/>
    <m/>
    <m/>
    <m/>
    <m/>
    <m/>
    <m/>
  </r>
  <r>
    <x v="17"/>
    <x v="37"/>
    <m/>
    <m/>
    <m/>
    <m/>
    <m/>
    <m/>
    <m/>
    <m/>
    <m/>
    <m/>
    <m/>
    <m/>
    <m/>
    <m/>
    <m/>
    <m/>
    <m/>
  </r>
  <r>
    <x v="17"/>
    <x v="38"/>
    <m/>
    <m/>
    <m/>
    <m/>
    <m/>
    <m/>
    <m/>
    <m/>
    <m/>
    <m/>
    <m/>
    <m/>
    <m/>
    <m/>
    <m/>
    <m/>
    <m/>
  </r>
  <r>
    <x v="17"/>
    <x v="39"/>
    <m/>
    <m/>
    <m/>
    <m/>
    <m/>
    <m/>
    <m/>
    <m/>
    <m/>
    <m/>
    <m/>
    <m/>
    <m/>
    <m/>
    <m/>
    <m/>
    <m/>
  </r>
  <r>
    <x v="17"/>
    <x v="40"/>
    <m/>
    <m/>
    <m/>
    <m/>
    <m/>
    <m/>
    <m/>
    <m/>
    <m/>
    <m/>
    <m/>
    <m/>
    <m/>
    <m/>
    <m/>
    <m/>
    <m/>
  </r>
  <r>
    <x v="17"/>
    <x v="41"/>
    <m/>
    <m/>
    <m/>
    <m/>
    <m/>
    <m/>
    <m/>
    <m/>
    <m/>
    <m/>
    <m/>
    <m/>
    <m/>
    <m/>
    <m/>
    <m/>
    <m/>
  </r>
  <r>
    <x v="17"/>
    <x v="42"/>
    <m/>
    <m/>
    <m/>
    <m/>
    <m/>
    <m/>
    <m/>
    <m/>
    <m/>
    <m/>
    <m/>
    <m/>
    <m/>
    <m/>
    <m/>
    <m/>
    <m/>
  </r>
  <r>
    <x v="17"/>
    <x v="43"/>
    <m/>
    <m/>
    <m/>
    <m/>
    <m/>
    <m/>
    <m/>
    <m/>
    <m/>
    <m/>
    <m/>
    <m/>
    <m/>
    <m/>
    <m/>
    <m/>
    <m/>
  </r>
  <r>
    <x v="17"/>
    <x v="44"/>
    <m/>
    <m/>
    <m/>
    <m/>
    <m/>
    <m/>
    <m/>
    <m/>
    <m/>
    <m/>
    <m/>
    <m/>
    <m/>
    <m/>
    <m/>
    <m/>
    <m/>
  </r>
  <r>
    <x v="17"/>
    <x v="45"/>
    <m/>
    <m/>
    <m/>
    <m/>
    <m/>
    <m/>
    <m/>
    <m/>
    <m/>
    <m/>
    <m/>
    <m/>
    <m/>
    <m/>
    <m/>
    <m/>
    <m/>
  </r>
  <r>
    <x v="17"/>
    <x v="46"/>
    <m/>
    <m/>
    <m/>
    <m/>
    <m/>
    <m/>
    <m/>
    <m/>
    <m/>
    <m/>
    <m/>
    <m/>
    <m/>
    <m/>
    <m/>
    <m/>
    <m/>
  </r>
  <r>
    <x v="17"/>
    <x v="47"/>
    <m/>
    <m/>
    <m/>
    <m/>
    <m/>
    <m/>
    <m/>
    <m/>
    <m/>
    <m/>
    <m/>
    <m/>
    <m/>
    <m/>
    <m/>
    <m/>
    <m/>
  </r>
  <r>
    <x v="17"/>
    <x v="48"/>
    <m/>
    <m/>
    <m/>
    <m/>
    <m/>
    <m/>
    <m/>
    <m/>
    <m/>
    <m/>
    <m/>
    <m/>
    <m/>
    <m/>
    <m/>
    <m/>
    <m/>
  </r>
  <r>
    <x v="17"/>
    <x v="49"/>
    <m/>
    <m/>
    <m/>
    <m/>
    <m/>
    <m/>
    <m/>
    <m/>
    <m/>
    <m/>
    <m/>
    <m/>
    <m/>
    <m/>
    <m/>
    <m/>
    <m/>
  </r>
  <r>
    <x v="17"/>
    <x v="50"/>
    <m/>
    <m/>
    <m/>
    <m/>
    <m/>
    <m/>
    <m/>
    <m/>
    <m/>
    <m/>
    <m/>
    <m/>
    <m/>
    <m/>
    <m/>
    <m/>
    <m/>
  </r>
  <r>
    <x v="17"/>
    <x v="51"/>
    <m/>
    <m/>
    <m/>
    <m/>
    <m/>
    <m/>
    <m/>
    <m/>
    <m/>
    <m/>
    <m/>
    <m/>
    <m/>
    <m/>
    <m/>
    <m/>
    <m/>
  </r>
  <r>
    <x v="18"/>
    <x v="0"/>
    <m/>
    <m/>
    <m/>
    <m/>
    <m/>
    <m/>
    <m/>
    <m/>
    <m/>
    <m/>
    <m/>
    <m/>
    <m/>
    <m/>
    <m/>
    <m/>
    <m/>
  </r>
  <r>
    <x v="18"/>
    <x v="1"/>
    <m/>
    <m/>
    <m/>
    <m/>
    <m/>
    <m/>
    <m/>
    <m/>
    <m/>
    <m/>
    <m/>
    <m/>
    <m/>
    <m/>
    <m/>
    <m/>
    <m/>
  </r>
  <r>
    <x v="18"/>
    <x v="2"/>
    <n v="1"/>
    <n v="1"/>
    <n v="1"/>
    <n v="1"/>
    <n v="1"/>
    <n v="1"/>
    <n v="1"/>
    <n v="1"/>
    <m/>
    <n v="1"/>
    <n v="1"/>
    <n v="1"/>
    <m/>
    <n v="1"/>
    <m/>
    <m/>
    <m/>
  </r>
  <r>
    <x v="18"/>
    <x v="3"/>
    <m/>
    <m/>
    <m/>
    <m/>
    <m/>
    <m/>
    <m/>
    <m/>
    <m/>
    <m/>
    <m/>
    <m/>
    <m/>
    <m/>
    <m/>
    <m/>
    <m/>
  </r>
  <r>
    <x v="18"/>
    <x v="4"/>
    <m/>
    <m/>
    <m/>
    <m/>
    <m/>
    <m/>
    <m/>
    <m/>
    <m/>
    <m/>
    <m/>
    <m/>
    <m/>
    <m/>
    <m/>
    <m/>
    <m/>
  </r>
  <r>
    <x v="18"/>
    <x v="5"/>
    <m/>
    <m/>
    <m/>
    <m/>
    <m/>
    <m/>
    <n v="11"/>
    <m/>
    <n v="32"/>
    <m/>
    <n v="31"/>
    <n v="35"/>
    <n v="22"/>
    <n v="34"/>
    <n v="6"/>
    <n v="34"/>
    <m/>
  </r>
  <r>
    <x v="18"/>
    <x v="6"/>
    <m/>
    <m/>
    <m/>
    <m/>
    <m/>
    <m/>
    <m/>
    <m/>
    <m/>
    <m/>
    <m/>
    <m/>
    <m/>
    <m/>
    <m/>
    <m/>
    <m/>
  </r>
  <r>
    <x v="18"/>
    <x v="7"/>
    <m/>
    <m/>
    <m/>
    <m/>
    <m/>
    <m/>
    <m/>
    <m/>
    <m/>
    <m/>
    <m/>
    <m/>
    <m/>
    <m/>
    <n v="1"/>
    <m/>
    <m/>
  </r>
  <r>
    <x v="18"/>
    <x v="8"/>
    <m/>
    <m/>
    <m/>
    <m/>
    <m/>
    <m/>
    <m/>
    <m/>
    <m/>
    <m/>
    <m/>
    <m/>
    <m/>
    <m/>
    <m/>
    <m/>
    <m/>
  </r>
  <r>
    <x v="18"/>
    <x v="9"/>
    <m/>
    <m/>
    <m/>
    <m/>
    <m/>
    <m/>
    <m/>
    <m/>
    <m/>
    <m/>
    <m/>
    <m/>
    <m/>
    <m/>
    <n v="1"/>
    <m/>
    <m/>
  </r>
  <r>
    <x v="18"/>
    <x v="10"/>
    <m/>
    <m/>
    <m/>
    <m/>
    <m/>
    <m/>
    <m/>
    <m/>
    <m/>
    <m/>
    <m/>
    <m/>
    <m/>
    <m/>
    <m/>
    <m/>
    <m/>
  </r>
  <r>
    <x v="18"/>
    <x v="11"/>
    <m/>
    <m/>
    <m/>
    <m/>
    <m/>
    <m/>
    <m/>
    <m/>
    <m/>
    <m/>
    <m/>
    <m/>
    <m/>
    <m/>
    <m/>
    <m/>
    <m/>
  </r>
  <r>
    <x v="18"/>
    <x v="12"/>
    <m/>
    <m/>
    <m/>
    <m/>
    <m/>
    <m/>
    <m/>
    <m/>
    <m/>
    <m/>
    <m/>
    <m/>
    <m/>
    <m/>
    <m/>
    <m/>
    <m/>
  </r>
  <r>
    <x v="18"/>
    <x v="13"/>
    <m/>
    <m/>
    <m/>
    <m/>
    <m/>
    <m/>
    <m/>
    <m/>
    <m/>
    <m/>
    <m/>
    <m/>
    <m/>
    <m/>
    <m/>
    <m/>
    <m/>
  </r>
  <r>
    <x v="18"/>
    <x v="14"/>
    <m/>
    <m/>
    <m/>
    <m/>
    <m/>
    <m/>
    <m/>
    <m/>
    <m/>
    <m/>
    <m/>
    <m/>
    <m/>
    <m/>
    <n v="1"/>
    <m/>
    <m/>
  </r>
  <r>
    <x v="18"/>
    <x v="15"/>
    <m/>
    <m/>
    <m/>
    <m/>
    <m/>
    <m/>
    <m/>
    <m/>
    <m/>
    <m/>
    <m/>
    <m/>
    <m/>
    <m/>
    <m/>
    <m/>
    <m/>
  </r>
  <r>
    <x v="18"/>
    <x v="16"/>
    <m/>
    <m/>
    <m/>
    <m/>
    <m/>
    <m/>
    <m/>
    <m/>
    <m/>
    <m/>
    <m/>
    <m/>
    <m/>
    <m/>
    <m/>
    <m/>
    <m/>
  </r>
  <r>
    <x v="18"/>
    <x v="17"/>
    <m/>
    <m/>
    <m/>
    <m/>
    <m/>
    <m/>
    <m/>
    <m/>
    <m/>
    <m/>
    <m/>
    <m/>
    <m/>
    <m/>
    <m/>
    <m/>
    <m/>
  </r>
  <r>
    <x v="18"/>
    <x v="18"/>
    <m/>
    <m/>
    <m/>
    <m/>
    <m/>
    <m/>
    <m/>
    <m/>
    <m/>
    <m/>
    <m/>
    <m/>
    <m/>
    <m/>
    <m/>
    <m/>
    <m/>
  </r>
  <r>
    <x v="18"/>
    <x v="19"/>
    <m/>
    <m/>
    <m/>
    <m/>
    <m/>
    <m/>
    <m/>
    <m/>
    <m/>
    <m/>
    <m/>
    <m/>
    <m/>
    <m/>
    <m/>
    <m/>
    <m/>
  </r>
  <r>
    <x v="18"/>
    <x v="20"/>
    <n v="1"/>
    <m/>
    <n v="1"/>
    <m/>
    <n v="1"/>
    <m/>
    <m/>
    <m/>
    <n v="1"/>
    <m/>
    <m/>
    <m/>
    <m/>
    <m/>
    <n v="1"/>
    <m/>
    <m/>
  </r>
  <r>
    <x v="18"/>
    <x v="21"/>
    <m/>
    <m/>
    <m/>
    <m/>
    <m/>
    <m/>
    <m/>
    <m/>
    <m/>
    <m/>
    <m/>
    <m/>
    <m/>
    <m/>
    <m/>
    <m/>
    <m/>
  </r>
  <r>
    <x v="18"/>
    <x v="22"/>
    <m/>
    <m/>
    <m/>
    <m/>
    <m/>
    <m/>
    <m/>
    <m/>
    <m/>
    <m/>
    <m/>
    <m/>
    <m/>
    <m/>
    <m/>
    <m/>
    <m/>
  </r>
  <r>
    <x v="18"/>
    <x v="23"/>
    <m/>
    <m/>
    <m/>
    <m/>
    <m/>
    <m/>
    <n v="3"/>
    <n v="1"/>
    <n v="1"/>
    <m/>
    <n v="1"/>
    <n v="1"/>
    <m/>
    <m/>
    <n v="2"/>
    <m/>
    <m/>
  </r>
  <r>
    <x v="18"/>
    <x v="24"/>
    <m/>
    <m/>
    <m/>
    <m/>
    <m/>
    <m/>
    <m/>
    <m/>
    <m/>
    <m/>
    <m/>
    <m/>
    <m/>
    <m/>
    <m/>
    <m/>
    <m/>
  </r>
  <r>
    <x v="18"/>
    <x v="25"/>
    <m/>
    <m/>
    <m/>
    <m/>
    <m/>
    <m/>
    <m/>
    <m/>
    <m/>
    <m/>
    <m/>
    <m/>
    <m/>
    <m/>
    <m/>
    <m/>
    <m/>
  </r>
  <r>
    <x v="18"/>
    <x v="26"/>
    <m/>
    <m/>
    <m/>
    <m/>
    <m/>
    <m/>
    <m/>
    <m/>
    <m/>
    <m/>
    <m/>
    <m/>
    <m/>
    <m/>
    <m/>
    <m/>
    <m/>
  </r>
  <r>
    <x v="18"/>
    <x v="27"/>
    <m/>
    <m/>
    <m/>
    <m/>
    <m/>
    <m/>
    <m/>
    <m/>
    <m/>
    <m/>
    <m/>
    <m/>
    <m/>
    <m/>
    <m/>
    <m/>
    <m/>
  </r>
  <r>
    <x v="18"/>
    <x v="28"/>
    <m/>
    <m/>
    <m/>
    <m/>
    <m/>
    <m/>
    <m/>
    <m/>
    <m/>
    <m/>
    <m/>
    <m/>
    <m/>
    <m/>
    <m/>
    <m/>
    <m/>
  </r>
  <r>
    <x v="18"/>
    <x v="29"/>
    <m/>
    <m/>
    <m/>
    <m/>
    <m/>
    <m/>
    <m/>
    <m/>
    <m/>
    <m/>
    <m/>
    <m/>
    <m/>
    <m/>
    <m/>
    <m/>
    <m/>
  </r>
  <r>
    <x v="18"/>
    <x v="30"/>
    <m/>
    <m/>
    <m/>
    <m/>
    <m/>
    <m/>
    <m/>
    <m/>
    <m/>
    <m/>
    <m/>
    <m/>
    <m/>
    <m/>
    <m/>
    <m/>
    <m/>
  </r>
  <r>
    <x v="18"/>
    <x v="31"/>
    <m/>
    <m/>
    <m/>
    <m/>
    <m/>
    <m/>
    <n v="2"/>
    <m/>
    <n v="1"/>
    <m/>
    <m/>
    <n v="1"/>
    <n v="1"/>
    <n v="3"/>
    <m/>
    <n v="2"/>
    <m/>
  </r>
  <r>
    <x v="18"/>
    <x v="32"/>
    <n v="10"/>
    <n v="2"/>
    <m/>
    <m/>
    <m/>
    <m/>
    <n v="14"/>
    <n v="4"/>
    <n v="6"/>
    <m/>
    <n v="25"/>
    <n v="15"/>
    <n v="29"/>
    <n v="26"/>
    <n v="38"/>
    <n v="38"/>
    <m/>
  </r>
  <r>
    <x v="18"/>
    <x v="33"/>
    <m/>
    <m/>
    <m/>
    <m/>
    <m/>
    <m/>
    <m/>
    <m/>
    <m/>
    <m/>
    <m/>
    <m/>
    <m/>
    <m/>
    <m/>
    <m/>
    <m/>
  </r>
  <r>
    <x v="18"/>
    <x v="34"/>
    <m/>
    <m/>
    <m/>
    <m/>
    <m/>
    <m/>
    <m/>
    <m/>
    <m/>
    <m/>
    <m/>
    <m/>
    <m/>
    <m/>
    <m/>
    <m/>
    <m/>
  </r>
  <r>
    <x v="18"/>
    <x v="35"/>
    <m/>
    <m/>
    <m/>
    <m/>
    <m/>
    <m/>
    <m/>
    <m/>
    <m/>
    <m/>
    <m/>
    <m/>
    <m/>
    <m/>
    <m/>
    <m/>
    <m/>
  </r>
  <r>
    <x v="18"/>
    <x v="36"/>
    <m/>
    <m/>
    <m/>
    <m/>
    <m/>
    <m/>
    <m/>
    <m/>
    <m/>
    <m/>
    <m/>
    <m/>
    <m/>
    <m/>
    <m/>
    <m/>
    <m/>
  </r>
  <r>
    <x v="18"/>
    <x v="37"/>
    <m/>
    <m/>
    <m/>
    <m/>
    <m/>
    <m/>
    <m/>
    <m/>
    <m/>
    <m/>
    <m/>
    <m/>
    <m/>
    <m/>
    <m/>
    <m/>
    <m/>
  </r>
  <r>
    <x v="18"/>
    <x v="38"/>
    <m/>
    <m/>
    <m/>
    <m/>
    <m/>
    <m/>
    <m/>
    <m/>
    <m/>
    <m/>
    <m/>
    <m/>
    <m/>
    <m/>
    <m/>
    <m/>
    <m/>
  </r>
  <r>
    <x v="18"/>
    <x v="39"/>
    <m/>
    <m/>
    <m/>
    <m/>
    <m/>
    <m/>
    <m/>
    <m/>
    <m/>
    <m/>
    <m/>
    <m/>
    <m/>
    <m/>
    <m/>
    <m/>
    <m/>
  </r>
  <r>
    <x v="18"/>
    <x v="40"/>
    <m/>
    <m/>
    <m/>
    <m/>
    <m/>
    <m/>
    <m/>
    <m/>
    <m/>
    <m/>
    <m/>
    <m/>
    <m/>
    <m/>
    <m/>
    <m/>
    <m/>
  </r>
  <r>
    <x v="18"/>
    <x v="41"/>
    <m/>
    <m/>
    <m/>
    <m/>
    <m/>
    <m/>
    <m/>
    <m/>
    <m/>
    <m/>
    <m/>
    <m/>
    <m/>
    <m/>
    <m/>
    <m/>
    <m/>
  </r>
  <r>
    <x v="18"/>
    <x v="42"/>
    <m/>
    <m/>
    <m/>
    <m/>
    <m/>
    <m/>
    <m/>
    <m/>
    <n v="4"/>
    <m/>
    <n v="3"/>
    <n v="3"/>
    <m/>
    <n v="3"/>
    <n v="4"/>
    <m/>
    <m/>
  </r>
  <r>
    <x v="18"/>
    <x v="43"/>
    <m/>
    <m/>
    <m/>
    <m/>
    <m/>
    <m/>
    <m/>
    <m/>
    <m/>
    <m/>
    <m/>
    <m/>
    <m/>
    <m/>
    <m/>
    <m/>
    <m/>
  </r>
  <r>
    <x v="18"/>
    <x v="44"/>
    <m/>
    <m/>
    <m/>
    <m/>
    <m/>
    <m/>
    <m/>
    <m/>
    <m/>
    <m/>
    <m/>
    <m/>
    <m/>
    <m/>
    <m/>
    <m/>
    <m/>
  </r>
  <r>
    <x v="18"/>
    <x v="45"/>
    <m/>
    <m/>
    <m/>
    <m/>
    <m/>
    <m/>
    <m/>
    <m/>
    <m/>
    <m/>
    <m/>
    <m/>
    <m/>
    <m/>
    <m/>
    <m/>
    <m/>
  </r>
  <r>
    <x v="18"/>
    <x v="46"/>
    <m/>
    <m/>
    <m/>
    <m/>
    <m/>
    <m/>
    <m/>
    <m/>
    <m/>
    <m/>
    <m/>
    <m/>
    <m/>
    <m/>
    <m/>
    <m/>
    <m/>
  </r>
  <r>
    <x v="18"/>
    <x v="47"/>
    <m/>
    <m/>
    <m/>
    <m/>
    <m/>
    <m/>
    <m/>
    <m/>
    <m/>
    <m/>
    <m/>
    <m/>
    <m/>
    <m/>
    <m/>
    <m/>
    <m/>
  </r>
  <r>
    <x v="18"/>
    <x v="48"/>
    <m/>
    <m/>
    <m/>
    <m/>
    <m/>
    <m/>
    <m/>
    <m/>
    <m/>
    <m/>
    <m/>
    <m/>
    <m/>
    <m/>
    <m/>
    <m/>
    <m/>
  </r>
  <r>
    <x v="18"/>
    <x v="49"/>
    <m/>
    <m/>
    <m/>
    <m/>
    <m/>
    <m/>
    <m/>
    <m/>
    <m/>
    <m/>
    <m/>
    <m/>
    <m/>
    <m/>
    <n v="2"/>
    <m/>
    <m/>
  </r>
  <r>
    <x v="18"/>
    <x v="50"/>
    <m/>
    <m/>
    <m/>
    <m/>
    <m/>
    <m/>
    <m/>
    <m/>
    <m/>
    <m/>
    <m/>
    <m/>
    <m/>
    <m/>
    <m/>
    <m/>
    <m/>
  </r>
  <r>
    <x v="18"/>
    <x v="51"/>
    <m/>
    <m/>
    <m/>
    <m/>
    <m/>
    <m/>
    <m/>
    <n v="1"/>
    <n v="1"/>
    <m/>
    <m/>
    <n v="1"/>
    <m/>
    <n v="1"/>
    <n v="1"/>
    <n v="1"/>
    <m/>
  </r>
  <r>
    <x v="18"/>
    <x v="62"/>
    <m/>
    <m/>
    <m/>
    <m/>
    <m/>
    <m/>
    <n v="4"/>
    <m/>
    <m/>
    <m/>
    <n v="4"/>
    <n v="4"/>
    <n v="4"/>
    <n v="4"/>
    <n v="4"/>
    <n v="4"/>
    <m/>
  </r>
  <r>
    <x v="18"/>
    <x v="63"/>
    <n v="8"/>
    <n v="3"/>
    <n v="4"/>
    <n v="3"/>
    <n v="3"/>
    <n v="3"/>
    <n v="33"/>
    <n v="29"/>
    <n v="42"/>
    <n v="7"/>
    <n v="16"/>
    <n v="39"/>
    <n v="18"/>
    <n v="41"/>
    <n v="30"/>
    <n v="65"/>
    <m/>
  </r>
  <r>
    <x v="18"/>
    <x v="64"/>
    <n v="5"/>
    <n v="1"/>
    <n v="1"/>
    <n v="1"/>
    <n v="0"/>
    <n v="1"/>
    <n v="14"/>
    <n v="2"/>
    <n v="6"/>
    <n v="5"/>
    <n v="13"/>
    <n v="8"/>
    <n v="3"/>
    <n v="30"/>
    <n v="3"/>
    <n v="5"/>
    <m/>
  </r>
  <r>
    <x v="18"/>
    <x v="59"/>
    <n v="3"/>
    <m/>
    <m/>
    <m/>
    <m/>
    <m/>
    <n v="5"/>
    <n v="2"/>
    <m/>
    <m/>
    <n v="5"/>
    <n v="5"/>
    <n v="6"/>
    <n v="2"/>
    <n v="10"/>
    <n v="13"/>
    <m/>
  </r>
  <r>
    <x v="18"/>
    <x v="65"/>
    <m/>
    <m/>
    <m/>
    <m/>
    <m/>
    <m/>
    <n v="10"/>
    <n v="5"/>
    <m/>
    <m/>
    <m/>
    <m/>
    <n v="2"/>
    <n v="15"/>
    <n v="15"/>
    <n v="2"/>
    <m/>
  </r>
  <r>
    <x v="18"/>
    <x v="66"/>
    <m/>
    <m/>
    <m/>
    <m/>
    <m/>
    <m/>
    <m/>
    <m/>
    <m/>
    <m/>
    <n v="6"/>
    <n v="6"/>
    <n v="6"/>
    <n v="2"/>
    <n v="6"/>
    <n v="6"/>
    <m/>
  </r>
  <r>
    <x v="18"/>
    <x v="67"/>
    <m/>
    <m/>
    <m/>
    <m/>
    <m/>
    <m/>
    <m/>
    <m/>
    <m/>
    <m/>
    <n v="4"/>
    <n v="4"/>
    <n v="4"/>
    <n v="2"/>
    <n v="4"/>
    <n v="4"/>
    <m/>
  </r>
  <r>
    <x v="18"/>
    <x v="68"/>
    <n v="1"/>
    <n v="2"/>
    <m/>
    <n v="2"/>
    <n v="8"/>
    <m/>
    <n v="5"/>
    <n v="5"/>
    <m/>
    <m/>
    <n v="1"/>
    <m/>
    <n v="2"/>
    <n v="15"/>
    <n v="3"/>
    <n v="2"/>
    <m/>
  </r>
  <r>
    <x v="18"/>
    <x v="69"/>
    <m/>
    <m/>
    <m/>
    <m/>
    <m/>
    <m/>
    <m/>
    <n v="3"/>
    <n v="3"/>
    <m/>
    <n v="3"/>
    <n v="1"/>
    <m/>
    <n v="1"/>
    <m/>
    <m/>
    <m/>
  </r>
  <r>
    <x v="18"/>
    <x v="70"/>
    <n v="30"/>
    <m/>
    <m/>
    <m/>
    <n v="30"/>
    <m/>
    <n v="30"/>
    <n v="30"/>
    <n v="30"/>
    <m/>
    <n v="30"/>
    <n v="30"/>
    <m/>
    <n v="30"/>
    <m/>
    <m/>
    <m/>
  </r>
  <r>
    <x v="18"/>
    <x v="71"/>
    <m/>
    <m/>
    <m/>
    <m/>
    <n v="3"/>
    <m/>
    <n v="1"/>
    <m/>
    <m/>
    <m/>
    <m/>
    <m/>
    <m/>
    <m/>
    <m/>
    <m/>
    <m/>
  </r>
  <r>
    <x v="18"/>
    <x v="72"/>
    <m/>
    <n v="1"/>
    <m/>
    <n v="1"/>
    <m/>
    <n v="1"/>
    <n v="2"/>
    <n v="1"/>
    <n v="1"/>
    <m/>
    <n v="2"/>
    <n v="2"/>
    <n v="2"/>
    <m/>
    <n v="1"/>
    <n v="3"/>
    <m/>
  </r>
  <r>
    <x v="18"/>
    <x v="67"/>
    <m/>
    <m/>
    <m/>
    <m/>
    <m/>
    <m/>
    <m/>
    <m/>
    <m/>
    <m/>
    <n v="4"/>
    <n v="4"/>
    <n v="4"/>
    <n v="2"/>
    <n v="4"/>
    <n v="4"/>
    <m/>
  </r>
  <r>
    <x v="18"/>
    <x v="66"/>
    <m/>
    <m/>
    <m/>
    <m/>
    <m/>
    <m/>
    <n v="10"/>
    <m/>
    <n v="10"/>
    <m/>
    <n v="10"/>
    <n v="6"/>
    <n v="6"/>
    <n v="5"/>
    <n v="6"/>
    <n v="10"/>
    <m/>
  </r>
  <r>
    <x v="19"/>
    <x v="0"/>
    <m/>
    <m/>
    <m/>
    <m/>
    <m/>
    <m/>
    <m/>
    <m/>
    <m/>
    <m/>
    <m/>
    <m/>
    <m/>
    <m/>
    <m/>
    <m/>
    <m/>
  </r>
  <r>
    <x v="19"/>
    <x v="1"/>
    <m/>
    <m/>
    <m/>
    <m/>
    <m/>
    <m/>
    <m/>
    <m/>
    <m/>
    <m/>
    <m/>
    <m/>
    <m/>
    <m/>
    <m/>
    <m/>
    <m/>
  </r>
  <r>
    <x v="19"/>
    <x v="2"/>
    <m/>
    <m/>
    <m/>
    <m/>
    <m/>
    <m/>
    <m/>
    <m/>
    <m/>
    <m/>
    <m/>
    <m/>
    <m/>
    <m/>
    <m/>
    <m/>
    <m/>
  </r>
  <r>
    <x v="19"/>
    <x v="3"/>
    <m/>
    <m/>
    <m/>
    <m/>
    <m/>
    <m/>
    <m/>
    <m/>
    <m/>
    <m/>
    <m/>
    <m/>
    <m/>
    <m/>
    <m/>
    <m/>
    <m/>
  </r>
  <r>
    <x v="19"/>
    <x v="4"/>
    <m/>
    <m/>
    <m/>
    <m/>
    <m/>
    <m/>
    <m/>
    <m/>
    <m/>
    <m/>
    <m/>
    <m/>
    <m/>
    <m/>
    <m/>
    <m/>
    <m/>
  </r>
  <r>
    <x v="19"/>
    <x v="5"/>
    <m/>
    <m/>
    <m/>
    <m/>
    <m/>
    <m/>
    <m/>
    <m/>
    <m/>
    <m/>
    <m/>
    <m/>
    <m/>
    <m/>
    <m/>
    <m/>
    <m/>
  </r>
  <r>
    <x v="19"/>
    <x v="6"/>
    <m/>
    <m/>
    <m/>
    <m/>
    <m/>
    <m/>
    <m/>
    <m/>
    <m/>
    <m/>
    <m/>
    <m/>
    <m/>
    <m/>
    <m/>
    <m/>
    <m/>
  </r>
  <r>
    <x v="19"/>
    <x v="7"/>
    <m/>
    <m/>
    <m/>
    <m/>
    <m/>
    <m/>
    <m/>
    <m/>
    <m/>
    <m/>
    <m/>
    <m/>
    <m/>
    <m/>
    <m/>
    <m/>
    <m/>
  </r>
  <r>
    <x v="19"/>
    <x v="8"/>
    <m/>
    <m/>
    <m/>
    <m/>
    <m/>
    <m/>
    <m/>
    <m/>
    <m/>
    <m/>
    <m/>
    <m/>
    <m/>
    <m/>
    <m/>
    <m/>
    <m/>
  </r>
  <r>
    <x v="19"/>
    <x v="9"/>
    <m/>
    <m/>
    <m/>
    <m/>
    <m/>
    <m/>
    <m/>
    <m/>
    <m/>
    <m/>
    <m/>
    <m/>
    <m/>
    <m/>
    <m/>
    <m/>
    <m/>
  </r>
  <r>
    <x v="19"/>
    <x v="10"/>
    <m/>
    <m/>
    <m/>
    <m/>
    <m/>
    <m/>
    <m/>
    <m/>
    <m/>
    <m/>
    <m/>
    <m/>
    <m/>
    <m/>
    <m/>
    <m/>
    <m/>
  </r>
  <r>
    <x v="19"/>
    <x v="11"/>
    <m/>
    <m/>
    <m/>
    <m/>
    <m/>
    <m/>
    <m/>
    <m/>
    <m/>
    <m/>
    <m/>
    <m/>
    <m/>
    <m/>
    <m/>
    <m/>
    <m/>
  </r>
  <r>
    <x v="19"/>
    <x v="12"/>
    <m/>
    <m/>
    <m/>
    <m/>
    <m/>
    <m/>
    <m/>
    <m/>
    <m/>
    <m/>
    <m/>
    <m/>
    <m/>
    <m/>
    <m/>
    <m/>
    <m/>
  </r>
  <r>
    <x v="19"/>
    <x v="13"/>
    <m/>
    <m/>
    <m/>
    <m/>
    <m/>
    <m/>
    <m/>
    <m/>
    <m/>
    <m/>
    <m/>
    <m/>
    <m/>
    <m/>
    <m/>
    <m/>
    <m/>
  </r>
  <r>
    <x v="19"/>
    <x v="14"/>
    <m/>
    <m/>
    <m/>
    <m/>
    <m/>
    <m/>
    <m/>
    <m/>
    <m/>
    <m/>
    <m/>
    <m/>
    <m/>
    <m/>
    <m/>
    <m/>
    <m/>
  </r>
  <r>
    <x v="19"/>
    <x v="15"/>
    <m/>
    <m/>
    <m/>
    <m/>
    <m/>
    <m/>
    <m/>
    <m/>
    <m/>
    <m/>
    <m/>
    <m/>
    <m/>
    <m/>
    <m/>
    <m/>
    <m/>
  </r>
  <r>
    <x v="19"/>
    <x v="16"/>
    <m/>
    <m/>
    <m/>
    <m/>
    <m/>
    <m/>
    <m/>
    <m/>
    <m/>
    <m/>
    <m/>
    <m/>
    <m/>
    <m/>
    <m/>
    <m/>
    <m/>
  </r>
  <r>
    <x v="19"/>
    <x v="17"/>
    <m/>
    <m/>
    <m/>
    <m/>
    <m/>
    <m/>
    <m/>
    <m/>
    <m/>
    <m/>
    <m/>
    <m/>
    <m/>
    <m/>
    <m/>
    <m/>
    <m/>
  </r>
  <r>
    <x v="19"/>
    <x v="18"/>
    <m/>
    <m/>
    <m/>
    <m/>
    <m/>
    <m/>
    <m/>
    <m/>
    <m/>
    <m/>
    <m/>
    <m/>
    <m/>
    <m/>
    <m/>
    <m/>
    <m/>
  </r>
  <r>
    <x v="19"/>
    <x v="19"/>
    <m/>
    <m/>
    <m/>
    <m/>
    <m/>
    <m/>
    <m/>
    <m/>
    <m/>
    <m/>
    <m/>
    <m/>
    <m/>
    <m/>
    <m/>
    <m/>
    <m/>
  </r>
  <r>
    <x v="19"/>
    <x v="20"/>
    <m/>
    <m/>
    <m/>
    <m/>
    <m/>
    <m/>
    <n v="2"/>
    <m/>
    <m/>
    <m/>
    <n v="2"/>
    <n v="2"/>
    <n v="2"/>
    <n v="1"/>
    <n v="2"/>
    <n v="2"/>
    <m/>
  </r>
  <r>
    <x v="19"/>
    <x v="21"/>
    <m/>
    <m/>
    <m/>
    <m/>
    <m/>
    <m/>
    <m/>
    <m/>
    <m/>
    <m/>
    <m/>
    <m/>
    <m/>
    <m/>
    <m/>
    <m/>
    <m/>
  </r>
  <r>
    <x v="19"/>
    <x v="22"/>
    <m/>
    <m/>
    <m/>
    <m/>
    <m/>
    <m/>
    <m/>
    <m/>
    <m/>
    <m/>
    <m/>
    <m/>
    <m/>
    <m/>
    <m/>
    <m/>
    <m/>
  </r>
  <r>
    <x v="19"/>
    <x v="23"/>
    <m/>
    <m/>
    <m/>
    <m/>
    <m/>
    <m/>
    <m/>
    <m/>
    <m/>
    <m/>
    <m/>
    <m/>
    <m/>
    <m/>
    <m/>
    <m/>
    <m/>
  </r>
  <r>
    <x v="19"/>
    <x v="24"/>
    <m/>
    <m/>
    <m/>
    <m/>
    <m/>
    <m/>
    <m/>
    <m/>
    <m/>
    <m/>
    <m/>
    <m/>
    <m/>
    <m/>
    <m/>
    <m/>
    <m/>
  </r>
  <r>
    <x v="19"/>
    <x v="25"/>
    <m/>
    <m/>
    <m/>
    <m/>
    <m/>
    <m/>
    <m/>
    <m/>
    <m/>
    <m/>
    <m/>
    <m/>
    <m/>
    <m/>
    <m/>
    <m/>
    <m/>
  </r>
  <r>
    <x v="19"/>
    <x v="26"/>
    <m/>
    <m/>
    <m/>
    <m/>
    <m/>
    <m/>
    <m/>
    <m/>
    <m/>
    <m/>
    <m/>
    <m/>
    <m/>
    <m/>
    <m/>
    <m/>
    <m/>
  </r>
  <r>
    <x v="19"/>
    <x v="27"/>
    <m/>
    <m/>
    <m/>
    <m/>
    <m/>
    <m/>
    <m/>
    <m/>
    <m/>
    <m/>
    <m/>
    <m/>
    <m/>
    <m/>
    <m/>
    <m/>
    <m/>
  </r>
  <r>
    <x v="19"/>
    <x v="28"/>
    <m/>
    <m/>
    <m/>
    <m/>
    <m/>
    <m/>
    <m/>
    <m/>
    <m/>
    <m/>
    <m/>
    <m/>
    <m/>
    <m/>
    <m/>
    <m/>
    <m/>
  </r>
  <r>
    <x v="19"/>
    <x v="29"/>
    <m/>
    <m/>
    <m/>
    <m/>
    <m/>
    <m/>
    <m/>
    <m/>
    <m/>
    <m/>
    <m/>
    <m/>
    <m/>
    <m/>
    <m/>
    <m/>
    <m/>
  </r>
  <r>
    <x v="19"/>
    <x v="30"/>
    <m/>
    <m/>
    <m/>
    <m/>
    <m/>
    <m/>
    <m/>
    <m/>
    <m/>
    <m/>
    <m/>
    <m/>
    <m/>
    <m/>
    <m/>
    <m/>
    <m/>
  </r>
  <r>
    <x v="19"/>
    <x v="31"/>
    <m/>
    <m/>
    <m/>
    <m/>
    <m/>
    <m/>
    <n v="2"/>
    <m/>
    <m/>
    <m/>
    <n v="3"/>
    <n v="2"/>
    <n v="3"/>
    <n v="3"/>
    <n v="3"/>
    <n v="5"/>
    <m/>
  </r>
  <r>
    <x v="19"/>
    <x v="32"/>
    <m/>
    <m/>
    <m/>
    <m/>
    <m/>
    <m/>
    <m/>
    <m/>
    <m/>
    <m/>
    <m/>
    <m/>
    <m/>
    <m/>
    <m/>
    <m/>
    <m/>
  </r>
  <r>
    <x v="19"/>
    <x v="33"/>
    <m/>
    <m/>
    <m/>
    <m/>
    <m/>
    <m/>
    <m/>
    <m/>
    <m/>
    <m/>
    <m/>
    <m/>
    <m/>
    <m/>
    <m/>
    <m/>
    <m/>
  </r>
  <r>
    <x v="19"/>
    <x v="34"/>
    <m/>
    <m/>
    <m/>
    <m/>
    <m/>
    <m/>
    <n v="2"/>
    <n v="1"/>
    <m/>
    <m/>
    <n v="1"/>
    <n v="2"/>
    <m/>
    <n v="1"/>
    <n v="2"/>
    <n v="1"/>
    <m/>
  </r>
  <r>
    <x v="19"/>
    <x v="35"/>
    <m/>
    <m/>
    <m/>
    <m/>
    <m/>
    <m/>
    <m/>
    <m/>
    <m/>
    <m/>
    <m/>
    <m/>
    <m/>
    <m/>
    <m/>
    <m/>
    <m/>
  </r>
  <r>
    <x v="19"/>
    <x v="36"/>
    <m/>
    <m/>
    <m/>
    <m/>
    <m/>
    <m/>
    <m/>
    <m/>
    <m/>
    <m/>
    <m/>
    <m/>
    <m/>
    <m/>
    <m/>
    <m/>
    <m/>
  </r>
  <r>
    <x v="19"/>
    <x v="37"/>
    <m/>
    <m/>
    <m/>
    <m/>
    <m/>
    <m/>
    <m/>
    <m/>
    <m/>
    <m/>
    <m/>
    <m/>
    <m/>
    <m/>
    <m/>
    <m/>
    <m/>
  </r>
  <r>
    <x v="19"/>
    <x v="38"/>
    <m/>
    <m/>
    <m/>
    <m/>
    <m/>
    <m/>
    <m/>
    <m/>
    <m/>
    <m/>
    <m/>
    <m/>
    <m/>
    <m/>
    <m/>
    <m/>
    <m/>
  </r>
  <r>
    <x v="19"/>
    <x v="39"/>
    <m/>
    <m/>
    <m/>
    <m/>
    <m/>
    <m/>
    <m/>
    <m/>
    <m/>
    <m/>
    <m/>
    <m/>
    <m/>
    <m/>
    <m/>
    <m/>
    <m/>
  </r>
  <r>
    <x v="19"/>
    <x v="40"/>
    <m/>
    <m/>
    <m/>
    <m/>
    <m/>
    <m/>
    <m/>
    <m/>
    <m/>
    <m/>
    <m/>
    <m/>
    <m/>
    <m/>
    <m/>
    <m/>
    <m/>
  </r>
  <r>
    <x v="19"/>
    <x v="41"/>
    <m/>
    <m/>
    <m/>
    <m/>
    <m/>
    <m/>
    <m/>
    <m/>
    <m/>
    <m/>
    <m/>
    <m/>
    <m/>
    <m/>
    <m/>
    <m/>
    <m/>
  </r>
  <r>
    <x v="19"/>
    <x v="42"/>
    <m/>
    <m/>
    <m/>
    <m/>
    <m/>
    <m/>
    <n v="3"/>
    <n v="10"/>
    <m/>
    <m/>
    <n v="10"/>
    <n v="5"/>
    <n v="5"/>
    <n v="5"/>
    <n v="2"/>
    <n v="10"/>
    <m/>
  </r>
  <r>
    <x v="19"/>
    <x v="43"/>
    <m/>
    <m/>
    <m/>
    <m/>
    <m/>
    <m/>
    <m/>
    <m/>
    <m/>
    <m/>
    <m/>
    <m/>
    <m/>
    <m/>
    <m/>
    <m/>
    <m/>
  </r>
  <r>
    <x v="19"/>
    <x v="44"/>
    <m/>
    <m/>
    <m/>
    <m/>
    <m/>
    <m/>
    <m/>
    <m/>
    <m/>
    <m/>
    <m/>
    <m/>
    <m/>
    <m/>
    <m/>
    <m/>
    <m/>
  </r>
  <r>
    <x v="19"/>
    <x v="45"/>
    <m/>
    <m/>
    <m/>
    <m/>
    <m/>
    <m/>
    <m/>
    <m/>
    <m/>
    <m/>
    <m/>
    <m/>
    <m/>
    <m/>
    <m/>
    <m/>
    <m/>
  </r>
  <r>
    <x v="19"/>
    <x v="46"/>
    <m/>
    <m/>
    <m/>
    <m/>
    <m/>
    <m/>
    <m/>
    <m/>
    <m/>
    <m/>
    <m/>
    <m/>
    <m/>
    <m/>
    <m/>
    <m/>
    <m/>
  </r>
  <r>
    <x v="19"/>
    <x v="47"/>
    <m/>
    <m/>
    <m/>
    <m/>
    <m/>
    <m/>
    <m/>
    <m/>
    <m/>
    <m/>
    <m/>
    <n v="3"/>
    <n v="2"/>
    <n v="3"/>
    <n v="2"/>
    <n v="13"/>
    <m/>
  </r>
  <r>
    <x v="19"/>
    <x v="48"/>
    <m/>
    <m/>
    <m/>
    <m/>
    <m/>
    <m/>
    <m/>
    <m/>
    <m/>
    <m/>
    <m/>
    <m/>
    <m/>
    <m/>
    <m/>
    <m/>
    <m/>
  </r>
  <r>
    <x v="19"/>
    <x v="49"/>
    <m/>
    <m/>
    <m/>
    <m/>
    <m/>
    <m/>
    <m/>
    <m/>
    <m/>
    <m/>
    <m/>
    <m/>
    <m/>
    <m/>
    <m/>
    <m/>
    <m/>
  </r>
  <r>
    <x v="19"/>
    <x v="50"/>
    <m/>
    <m/>
    <m/>
    <m/>
    <m/>
    <m/>
    <n v="6"/>
    <m/>
    <m/>
    <m/>
    <n v="2"/>
    <n v="2"/>
    <n v="2"/>
    <n v="2"/>
    <n v="2"/>
    <n v="2"/>
    <m/>
  </r>
  <r>
    <x v="19"/>
    <x v="51"/>
    <m/>
    <m/>
    <m/>
    <m/>
    <m/>
    <m/>
    <m/>
    <m/>
    <m/>
    <m/>
    <m/>
    <m/>
    <m/>
    <m/>
    <m/>
    <m/>
    <m/>
  </r>
  <r>
    <x v="20"/>
    <x v="0"/>
    <m/>
    <m/>
    <m/>
    <m/>
    <m/>
    <m/>
    <m/>
    <m/>
    <m/>
    <m/>
    <m/>
    <m/>
    <m/>
    <m/>
    <m/>
    <m/>
    <m/>
  </r>
  <r>
    <x v="20"/>
    <x v="1"/>
    <m/>
    <m/>
    <m/>
    <m/>
    <m/>
    <m/>
    <m/>
    <m/>
    <m/>
    <m/>
    <m/>
    <m/>
    <m/>
    <m/>
    <m/>
    <m/>
    <m/>
  </r>
  <r>
    <x v="20"/>
    <x v="2"/>
    <m/>
    <m/>
    <m/>
    <m/>
    <m/>
    <m/>
    <m/>
    <m/>
    <m/>
    <m/>
    <m/>
    <m/>
    <m/>
    <m/>
    <m/>
    <m/>
    <m/>
  </r>
  <r>
    <x v="20"/>
    <x v="3"/>
    <m/>
    <m/>
    <m/>
    <m/>
    <m/>
    <m/>
    <m/>
    <m/>
    <m/>
    <m/>
    <m/>
    <m/>
    <m/>
    <m/>
    <m/>
    <m/>
    <m/>
  </r>
  <r>
    <x v="20"/>
    <x v="4"/>
    <m/>
    <m/>
    <m/>
    <m/>
    <m/>
    <m/>
    <m/>
    <m/>
    <m/>
    <m/>
    <m/>
    <m/>
    <m/>
    <m/>
    <m/>
    <m/>
    <m/>
  </r>
  <r>
    <x v="20"/>
    <x v="5"/>
    <m/>
    <m/>
    <m/>
    <m/>
    <m/>
    <m/>
    <m/>
    <m/>
    <m/>
    <m/>
    <m/>
    <m/>
    <m/>
    <m/>
    <m/>
    <m/>
    <m/>
  </r>
  <r>
    <x v="20"/>
    <x v="6"/>
    <m/>
    <m/>
    <m/>
    <m/>
    <m/>
    <m/>
    <m/>
    <m/>
    <m/>
    <m/>
    <m/>
    <m/>
    <m/>
    <m/>
    <m/>
    <m/>
    <m/>
  </r>
  <r>
    <x v="20"/>
    <x v="7"/>
    <m/>
    <m/>
    <m/>
    <m/>
    <m/>
    <m/>
    <m/>
    <m/>
    <m/>
    <m/>
    <m/>
    <m/>
    <m/>
    <m/>
    <m/>
    <m/>
    <m/>
  </r>
  <r>
    <x v="20"/>
    <x v="8"/>
    <m/>
    <m/>
    <m/>
    <m/>
    <m/>
    <m/>
    <m/>
    <m/>
    <m/>
    <m/>
    <m/>
    <m/>
    <m/>
    <m/>
    <m/>
    <m/>
    <m/>
  </r>
  <r>
    <x v="20"/>
    <x v="9"/>
    <m/>
    <m/>
    <m/>
    <m/>
    <m/>
    <m/>
    <m/>
    <m/>
    <m/>
    <m/>
    <m/>
    <m/>
    <m/>
    <m/>
    <m/>
    <m/>
    <m/>
  </r>
  <r>
    <x v="20"/>
    <x v="10"/>
    <m/>
    <m/>
    <m/>
    <m/>
    <m/>
    <m/>
    <m/>
    <m/>
    <m/>
    <m/>
    <m/>
    <m/>
    <m/>
    <m/>
    <m/>
    <m/>
    <m/>
  </r>
  <r>
    <x v="20"/>
    <x v="11"/>
    <m/>
    <m/>
    <m/>
    <m/>
    <m/>
    <m/>
    <m/>
    <m/>
    <m/>
    <m/>
    <m/>
    <m/>
    <m/>
    <m/>
    <m/>
    <m/>
    <m/>
  </r>
  <r>
    <x v="20"/>
    <x v="12"/>
    <m/>
    <m/>
    <m/>
    <m/>
    <m/>
    <m/>
    <m/>
    <m/>
    <m/>
    <m/>
    <m/>
    <m/>
    <m/>
    <m/>
    <m/>
    <m/>
    <m/>
  </r>
  <r>
    <x v="20"/>
    <x v="13"/>
    <m/>
    <m/>
    <m/>
    <m/>
    <m/>
    <m/>
    <m/>
    <m/>
    <m/>
    <m/>
    <m/>
    <m/>
    <m/>
    <m/>
    <m/>
    <m/>
    <m/>
  </r>
  <r>
    <x v="20"/>
    <x v="14"/>
    <m/>
    <m/>
    <m/>
    <m/>
    <m/>
    <m/>
    <m/>
    <m/>
    <m/>
    <m/>
    <m/>
    <m/>
    <m/>
    <m/>
    <m/>
    <m/>
    <m/>
  </r>
  <r>
    <x v="20"/>
    <x v="15"/>
    <m/>
    <m/>
    <m/>
    <m/>
    <m/>
    <m/>
    <m/>
    <m/>
    <m/>
    <m/>
    <m/>
    <m/>
    <m/>
    <m/>
    <m/>
    <m/>
    <m/>
  </r>
  <r>
    <x v="20"/>
    <x v="16"/>
    <m/>
    <m/>
    <m/>
    <m/>
    <m/>
    <m/>
    <m/>
    <m/>
    <m/>
    <m/>
    <m/>
    <m/>
    <m/>
    <m/>
    <m/>
    <m/>
    <m/>
  </r>
  <r>
    <x v="20"/>
    <x v="17"/>
    <m/>
    <m/>
    <m/>
    <m/>
    <m/>
    <m/>
    <m/>
    <m/>
    <m/>
    <m/>
    <m/>
    <m/>
    <m/>
    <m/>
    <m/>
    <m/>
    <m/>
  </r>
  <r>
    <x v="20"/>
    <x v="18"/>
    <m/>
    <m/>
    <m/>
    <m/>
    <m/>
    <m/>
    <m/>
    <m/>
    <m/>
    <m/>
    <m/>
    <m/>
    <m/>
    <m/>
    <m/>
    <m/>
    <m/>
  </r>
  <r>
    <x v="20"/>
    <x v="19"/>
    <m/>
    <m/>
    <m/>
    <m/>
    <m/>
    <m/>
    <m/>
    <m/>
    <m/>
    <m/>
    <m/>
    <m/>
    <m/>
    <m/>
    <m/>
    <m/>
    <m/>
  </r>
  <r>
    <x v="20"/>
    <x v="20"/>
    <m/>
    <m/>
    <m/>
    <m/>
    <m/>
    <m/>
    <m/>
    <m/>
    <m/>
    <m/>
    <m/>
    <m/>
    <m/>
    <m/>
    <m/>
    <m/>
    <m/>
  </r>
  <r>
    <x v="20"/>
    <x v="21"/>
    <m/>
    <m/>
    <m/>
    <m/>
    <m/>
    <m/>
    <m/>
    <m/>
    <m/>
    <m/>
    <m/>
    <m/>
    <m/>
    <m/>
    <m/>
    <m/>
    <m/>
  </r>
  <r>
    <x v="20"/>
    <x v="22"/>
    <m/>
    <m/>
    <m/>
    <m/>
    <m/>
    <m/>
    <m/>
    <m/>
    <m/>
    <m/>
    <m/>
    <m/>
    <m/>
    <m/>
    <m/>
    <m/>
    <m/>
  </r>
  <r>
    <x v="20"/>
    <x v="23"/>
    <m/>
    <m/>
    <m/>
    <m/>
    <m/>
    <m/>
    <m/>
    <m/>
    <m/>
    <m/>
    <m/>
    <m/>
    <m/>
    <m/>
    <m/>
    <m/>
    <m/>
  </r>
  <r>
    <x v="20"/>
    <x v="24"/>
    <m/>
    <m/>
    <m/>
    <m/>
    <m/>
    <m/>
    <m/>
    <m/>
    <m/>
    <m/>
    <m/>
    <m/>
    <m/>
    <m/>
    <m/>
    <m/>
    <m/>
  </r>
  <r>
    <x v="20"/>
    <x v="25"/>
    <m/>
    <m/>
    <m/>
    <m/>
    <m/>
    <m/>
    <m/>
    <m/>
    <m/>
    <m/>
    <m/>
    <m/>
    <m/>
    <m/>
    <m/>
    <m/>
    <m/>
  </r>
  <r>
    <x v="20"/>
    <x v="26"/>
    <m/>
    <m/>
    <m/>
    <m/>
    <m/>
    <m/>
    <m/>
    <m/>
    <m/>
    <m/>
    <m/>
    <m/>
    <m/>
    <m/>
    <m/>
    <m/>
    <m/>
  </r>
  <r>
    <x v="20"/>
    <x v="27"/>
    <m/>
    <m/>
    <m/>
    <m/>
    <m/>
    <m/>
    <m/>
    <m/>
    <m/>
    <m/>
    <m/>
    <m/>
    <m/>
    <m/>
    <m/>
    <m/>
    <m/>
  </r>
  <r>
    <x v="20"/>
    <x v="28"/>
    <m/>
    <m/>
    <m/>
    <m/>
    <m/>
    <m/>
    <m/>
    <m/>
    <m/>
    <m/>
    <m/>
    <m/>
    <m/>
    <m/>
    <m/>
    <m/>
    <m/>
  </r>
  <r>
    <x v="20"/>
    <x v="29"/>
    <m/>
    <m/>
    <m/>
    <m/>
    <m/>
    <m/>
    <m/>
    <m/>
    <m/>
    <m/>
    <m/>
    <m/>
    <m/>
    <m/>
    <m/>
    <m/>
    <m/>
  </r>
  <r>
    <x v="20"/>
    <x v="30"/>
    <m/>
    <m/>
    <m/>
    <m/>
    <m/>
    <m/>
    <m/>
    <m/>
    <m/>
    <m/>
    <m/>
    <m/>
    <m/>
    <m/>
    <m/>
    <m/>
    <m/>
  </r>
  <r>
    <x v="20"/>
    <x v="31"/>
    <m/>
    <m/>
    <m/>
    <m/>
    <m/>
    <m/>
    <m/>
    <m/>
    <m/>
    <m/>
    <m/>
    <m/>
    <m/>
    <m/>
    <m/>
    <m/>
    <m/>
  </r>
  <r>
    <x v="20"/>
    <x v="32"/>
    <m/>
    <m/>
    <m/>
    <m/>
    <m/>
    <m/>
    <m/>
    <m/>
    <m/>
    <m/>
    <m/>
    <m/>
    <m/>
    <m/>
    <m/>
    <m/>
    <m/>
  </r>
  <r>
    <x v="20"/>
    <x v="33"/>
    <m/>
    <m/>
    <m/>
    <m/>
    <m/>
    <m/>
    <m/>
    <m/>
    <m/>
    <m/>
    <m/>
    <m/>
    <m/>
    <m/>
    <m/>
    <m/>
    <m/>
  </r>
  <r>
    <x v="20"/>
    <x v="34"/>
    <m/>
    <m/>
    <m/>
    <m/>
    <m/>
    <m/>
    <m/>
    <m/>
    <m/>
    <m/>
    <m/>
    <m/>
    <m/>
    <m/>
    <m/>
    <m/>
    <m/>
  </r>
  <r>
    <x v="20"/>
    <x v="35"/>
    <m/>
    <m/>
    <m/>
    <m/>
    <m/>
    <m/>
    <m/>
    <m/>
    <m/>
    <m/>
    <m/>
    <m/>
    <m/>
    <m/>
    <m/>
    <m/>
    <m/>
  </r>
  <r>
    <x v="20"/>
    <x v="36"/>
    <m/>
    <m/>
    <m/>
    <m/>
    <m/>
    <m/>
    <m/>
    <m/>
    <m/>
    <m/>
    <m/>
    <m/>
    <m/>
    <m/>
    <m/>
    <m/>
    <m/>
  </r>
  <r>
    <x v="20"/>
    <x v="37"/>
    <m/>
    <m/>
    <m/>
    <m/>
    <m/>
    <m/>
    <m/>
    <m/>
    <m/>
    <m/>
    <m/>
    <m/>
    <m/>
    <m/>
    <m/>
    <m/>
    <m/>
  </r>
  <r>
    <x v="20"/>
    <x v="38"/>
    <m/>
    <m/>
    <m/>
    <m/>
    <m/>
    <m/>
    <m/>
    <m/>
    <m/>
    <m/>
    <m/>
    <m/>
    <m/>
    <m/>
    <m/>
    <m/>
    <m/>
  </r>
  <r>
    <x v="20"/>
    <x v="39"/>
    <m/>
    <m/>
    <m/>
    <m/>
    <m/>
    <m/>
    <m/>
    <m/>
    <m/>
    <m/>
    <m/>
    <m/>
    <m/>
    <m/>
    <m/>
    <m/>
    <m/>
  </r>
  <r>
    <x v="20"/>
    <x v="40"/>
    <m/>
    <m/>
    <m/>
    <m/>
    <m/>
    <m/>
    <m/>
    <m/>
    <m/>
    <m/>
    <m/>
    <m/>
    <m/>
    <m/>
    <m/>
    <m/>
    <m/>
  </r>
  <r>
    <x v="20"/>
    <x v="41"/>
    <m/>
    <m/>
    <m/>
    <m/>
    <m/>
    <m/>
    <m/>
    <m/>
    <m/>
    <m/>
    <m/>
    <m/>
    <m/>
    <m/>
    <m/>
    <m/>
    <m/>
  </r>
  <r>
    <x v="20"/>
    <x v="42"/>
    <m/>
    <m/>
    <m/>
    <m/>
    <m/>
    <m/>
    <m/>
    <m/>
    <m/>
    <m/>
    <m/>
    <m/>
    <m/>
    <m/>
    <m/>
    <m/>
    <m/>
  </r>
  <r>
    <x v="20"/>
    <x v="43"/>
    <m/>
    <m/>
    <m/>
    <m/>
    <m/>
    <m/>
    <m/>
    <m/>
    <m/>
    <m/>
    <m/>
    <m/>
    <m/>
    <m/>
    <m/>
    <m/>
    <m/>
  </r>
  <r>
    <x v="20"/>
    <x v="44"/>
    <m/>
    <m/>
    <m/>
    <m/>
    <m/>
    <m/>
    <m/>
    <m/>
    <m/>
    <m/>
    <m/>
    <m/>
    <m/>
    <m/>
    <m/>
    <m/>
    <m/>
  </r>
  <r>
    <x v="20"/>
    <x v="45"/>
    <m/>
    <m/>
    <m/>
    <m/>
    <m/>
    <m/>
    <m/>
    <m/>
    <m/>
    <m/>
    <m/>
    <m/>
    <m/>
    <m/>
    <m/>
    <m/>
    <m/>
  </r>
  <r>
    <x v="20"/>
    <x v="46"/>
    <m/>
    <m/>
    <m/>
    <m/>
    <m/>
    <m/>
    <m/>
    <m/>
    <m/>
    <m/>
    <m/>
    <m/>
    <m/>
    <m/>
    <m/>
    <m/>
    <m/>
  </r>
  <r>
    <x v="20"/>
    <x v="47"/>
    <m/>
    <m/>
    <m/>
    <m/>
    <m/>
    <m/>
    <m/>
    <m/>
    <m/>
    <m/>
    <m/>
    <m/>
    <m/>
    <m/>
    <m/>
    <m/>
    <m/>
  </r>
  <r>
    <x v="20"/>
    <x v="48"/>
    <m/>
    <m/>
    <m/>
    <m/>
    <m/>
    <m/>
    <m/>
    <m/>
    <m/>
    <m/>
    <m/>
    <m/>
    <m/>
    <m/>
    <m/>
    <m/>
    <m/>
  </r>
  <r>
    <x v="20"/>
    <x v="49"/>
    <m/>
    <m/>
    <m/>
    <m/>
    <m/>
    <m/>
    <m/>
    <m/>
    <m/>
    <m/>
    <m/>
    <m/>
    <m/>
    <m/>
    <m/>
    <m/>
    <m/>
  </r>
  <r>
    <x v="20"/>
    <x v="50"/>
    <m/>
    <m/>
    <m/>
    <m/>
    <m/>
    <m/>
    <m/>
    <m/>
    <m/>
    <m/>
    <m/>
    <m/>
    <m/>
    <m/>
    <m/>
    <m/>
    <m/>
  </r>
  <r>
    <x v="20"/>
    <x v="51"/>
    <m/>
    <m/>
    <m/>
    <m/>
    <m/>
    <m/>
    <m/>
    <m/>
    <m/>
    <m/>
    <m/>
    <m/>
    <m/>
    <m/>
    <m/>
    <m/>
    <m/>
  </r>
  <r>
    <x v="20"/>
    <x v="73"/>
    <m/>
    <m/>
    <m/>
    <m/>
    <m/>
    <m/>
    <m/>
    <n v="1"/>
    <m/>
    <m/>
    <m/>
    <m/>
    <m/>
    <m/>
    <m/>
    <m/>
    <m/>
  </r>
  <r>
    <x v="21"/>
    <x v="0"/>
    <m/>
    <m/>
    <m/>
    <m/>
    <m/>
    <m/>
    <m/>
    <m/>
    <m/>
    <m/>
    <m/>
    <m/>
    <m/>
    <m/>
    <m/>
    <m/>
    <m/>
  </r>
  <r>
    <x v="21"/>
    <x v="1"/>
    <m/>
    <m/>
    <m/>
    <m/>
    <m/>
    <m/>
    <m/>
    <m/>
    <m/>
    <m/>
    <m/>
    <m/>
    <m/>
    <m/>
    <m/>
    <m/>
    <m/>
  </r>
  <r>
    <x v="21"/>
    <x v="2"/>
    <m/>
    <m/>
    <m/>
    <m/>
    <m/>
    <m/>
    <m/>
    <m/>
    <m/>
    <m/>
    <m/>
    <m/>
    <m/>
    <m/>
    <m/>
    <m/>
    <m/>
  </r>
  <r>
    <x v="21"/>
    <x v="3"/>
    <m/>
    <m/>
    <m/>
    <m/>
    <m/>
    <m/>
    <m/>
    <m/>
    <m/>
    <m/>
    <m/>
    <m/>
    <m/>
    <m/>
    <m/>
    <m/>
    <m/>
  </r>
  <r>
    <x v="21"/>
    <x v="4"/>
    <m/>
    <m/>
    <m/>
    <m/>
    <m/>
    <m/>
    <m/>
    <m/>
    <m/>
    <m/>
    <m/>
    <m/>
    <m/>
    <m/>
    <m/>
    <m/>
    <m/>
  </r>
  <r>
    <x v="21"/>
    <x v="5"/>
    <m/>
    <m/>
    <m/>
    <m/>
    <m/>
    <m/>
    <m/>
    <m/>
    <m/>
    <m/>
    <m/>
    <m/>
    <m/>
    <m/>
    <m/>
    <m/>
    <m/>
  </r>
  <r>
    <x v="21"/>
    <x v="6"/>
    <m/>
    <m/>
    <m/>
    <m/>
    <m/>
    <m/>
    <m/>
    <m/>
    <m/>
    <m/>
    <m/>
    <m/>
    <m/>
    <m/>
    <m/>
    <m/>
    <m/>
  </r>
  <r>
    <x v="21"/>
    <x v="7"/>
    <m/>
    <m/>
    <m/>
    <m/>
    <m/>
    <m/>
    <m/>
    <m/>
    <m/>
    <m/>
    <m/>
    <m/>
    <m/>
    <m/>
    <m/>
    <m/>
    <m/>
  </r>
  <r>
    <x v="21"/>
    <x v="8"/>
    <m/>
    <m/>
    <m/>
    <m/>
    <m/>
    <m/>
    <m/>
    <m/>
    <m/>
    <m/>
    <m/>
    <m/>
    <m/>
    <m/>
    <m/>
    <m/>
    <m/>
  </r>
  <r>
    <x v="21"/>
    <x v="9"/>
    <m/>
    <m/>
    <m/>
    <m/>
    <m/>
    <m/>
    <m/>
    <m/>
    <m/>
    <m/>
    <m/>
    <m/>
    <m/>
    <m/>
    <m/>
    <m/>
    <m/>
  </r>
  <r>
    <x v="21"/>
    <x v="10"/>
    <m/>
    <m/>
    <m/>
    <m/>
    <m/>
    <m/>
    <m/>
    <m/>
    <m/>
    <m/>
    <m/>
    <m/>
    <m/>
    <m/>
    <m/>
    <m/>
    <m/>
  </r>
  <r>
    <x v="21"/>
    <x v="11"/>
    <m/>
    <m/>
    <m/>
    <m/>
    <m/>
    <m/>
    <m/>
    <m/>
    <m/>
    <m/>
    <m/>
    <m/>
    <m/>
    <m/>
    <m/>
    <m/>
    <m/>
  </r>
  <r>
    <x v="21"/>
    <x v="12"/>
    <m/>
    <m/>
    <m/>
    <m/>
    <m/>
    <m/>
    <m/>
    <m/>
    <m/>
    <m/>
    <m/>
    <m/>
    <m/>
    <m/>
    <m/>
    <m/>
    <m/>
  </r>
  <r>
    <x v="21"/>
    <x v="13"/>
    <m/>
    <m/>
    <m/>
    <m/>
    <m/>
    <m/>
    <m/>
    <m/>
    <m/>
    <m/>
    <m/>
    <m/>
    <m/>
    <m/>
    <m/>
    <m/>
    <m/>
  </r>
  <r>
    <x v="21"/>
    <x v="14"/>
    <m/>
    <m/>
    <m/>
    <m/>
    <m/>
    <m/>
    <m/>
    <m/>
    <m/>
    <m/>
    <m/>
    <m/>
    <m/>
    <m/>
    <m/>
    <m/>
    <m/>
  </r>
  <r>
    <x v="21"/>
    <x v="15"/>
    <m/>
    <m/>
    <m/>
    <m/>
    <m/>
    <m/>
    <m/>
    <m/>
    <m/>
    <m/>
    <m/>
    <m/>
    <m/>
    <m/>
    <m/>
    <m/>
    <m/>
  </r>
  <r>
    <x v="21"/>
    <x v="16"/>
    <m/>
    <m/>
    <m/>
    <m/>
    <m/>
    <m/>
    <m/>
    <m/>
    <m/>
    <m/>
    <m/>
    <m/>
    <m/>
    <m/>
    <m/>
    <m/>
    <m/>
  </r>
  <r>
    <x v="21"/>
    <x v="17"/>
    <m/>
    <m/>
    <m/>
    <m/>
    <m/>
    <m/>
    <m/>
    <m/>
    <m/>
    <m/>
    <m/>
    <m/>
    <m/>
    <m/>
    <m/>
    <m/>
    <m/>
  </r>
  <r>
    <x v="21"/>
    <x v="18"/>
    <m/>
    <m/>
    <m/>
    <m/>
    <m/>
    <m/>
    <m/>
    <m/>
    <m/>
    <m/>
    <m/>
    <m/>
    <m/>
    <m/>
    <m/>
    <m/>
    <m/>
  </r>
  <r>
    <x v="21"/>
    <x v="19"/>
    <m/>
    <m/>
    <m/>
    <m/>
    <m/>
    <m/>
    <m/>
    <m/>
    <m/>
    <m/>
    <m/>
    <m/>
    <m/>
    <m/>
    <m/>
    <m/>
    <m/>
  </r>
  <r>
    <x v="21"/>
    <x v="20"/>
    <m/>
    <m/>
    <m/>
    <m/>
    <m/>
    <m/>
    <m/>
    <m/>
    <m/>
    <m/>
    <m/>
    <m/>
    <m/>
    <m/>
    <m/>
    <m/>
    <m/>
  </r>
  <r>
    <x v="21"/>
    <x v="21"/>
    <m/>
    <m/>
    <m/>
    <m/>
    <m/>
    <m/>
    <m/>
    <m/>
    <m/>
    <m/>
    <m/>
    <m/>
    <m/>
    <m/>
    <m/>
    <m/>
    <m/>
  </r>
  <r>
    <x v="21"/>
    <x v="22"/>
    <m/>
    <m/>
    <m/>
    <m/>
    <m/>
    <m/>
    <m/>
    <m/>
    <m/>
    <m/>
    <m/>
    <m/>
    <m/>
    <m/>
    <m/>
    <m/>
    <m/>
  </r>
  <r>
    <x v="21"/>
    <x v="23"/>
    <m/>
    <m/>
    <m/>
    <m/>
    <m/>
    <m/>
    <m/>
    <m/>
    <m/>
    <m/>
    <m/>
    <m/>
    <m/>
    <m/>
    <m/>
    <m/>
    <m/>
  </r>
  <r>
    <x v="21"/>
    <x v="24"/>
    <m/>
    <m/>
    <m/>
    <m/>
    <m/>
    <m/>
    <m/>
    <m/>
    <m/>
    <m/>
    <m/>
    <m/>
    <m/>
    <m/>
    <m/>
    <m/>
    <m/>
  </r>
  <r>
    <x v="21"/>
    <x v="25"/>
    <m/>
    <m/>
    <m/>
    <m/>
    <m/>
    <m/>
    <m/>
    <m/>
    <m/>
    <m/>
    <m/>
    <m/>
    <m/>
    <m/>
    <m/>
    <m/>
    <m/>
  </r>
  <r>
    <x v="21"/>
    <x v="26"/>
    <m/>
    <m/>
    <m/>
    <m/>
    <m/>
    <m/>
    <m/>
    <m/>
    <m/>
    <m/>
    <m/>
    <m/>
    <m/>
    <m/>
    <m/>
    <m/>
    <m/>
  </r>
  <r>
    <x v="21"/>
    <x v="27"/>
    <m/>
    <m/>
    <m/>
    <m/>
    <m/>
    <m/>
    <m/>
    <m/>
    <m/>
    <m/>
    <m/>
    <m/>
    <m/>
    <m/>
    <m/>
    <m/>
    <m/>
  </r>
  <r>
    <x v="21"/>
    <x v="28"/>
    <m/>
    <m/>
    <m/>
    <m/>
    <m/>
    <m/>
    <m/>
    <m/>
    <m/>
    <m/>
    <m/>
    <m/>
    <m/>
    <m/>
    <m/>
    <m/>
    <m/>
  </r>
  <r>
    <x v="21"/>
    <x v="29"/>
    <m/>
    <m/>
    <m/>
    <m/>
    <m/>
    <m/>
    <m/>
    <m/>
    <m/>
    <m/>
    <m/>
    <m/>
    <m/>
    <m/>
    <m/>
    <m/>
    <m/>
  </r>
  <r>
    <x v="21"/>
    <x v="30"/>
    <m/>
    <m/>
    <m/>
    <m/>
    <m/>
    <m/>
    <m/>
    <m/>
    <m/>
    <m/>
    <m/>
    <m/>
    <m/>
    <m/>
    <m/>
    <m/>
    <m/>
  </r>
  <r>
    <x v="21"/>
    <x v="31"/>
    <m/>
    <m/>
    <m/>
    <m/>
    <m/>
    <m/>
    <m/>
    <m/>
    <m/>
    <m/>
    <m/>
    <m/>
    <m/>
    <m/>
    <m/>
    <m/>
    <m/>
  </r>
  <r>
    <x v="21"/>
    <x v="32"/>
    <m/>
    <m/>
    <m/>
    <m/>
    <m/>
    <m/>
    <m/>
    <m/>
    <m/>
    <m/>
    <m/>
    <m/>
    <m/>
    <m/>
    <m/>
    <m/>
    <m/>
  </r>
  <r>
    <x v="21"/>
    <x v="33"/>
    <m/>
    <m/>
    <m/>
    <m/>
    <m/>
    <m/>
    <m/>
    <m/>
    <m/>
    <m/>
    <m/>
    <m/>
    <m/>
    <m/>
    <m/>
    <m/>
    <m/>
  </r>
  <r>
    <x v="21"/>
    <x v="34"/>
    <m/>
    <m/>
    <m/>
    <m/>
    <m/>
    <m/>
    <m/>
    <m/>
    <m/>
    <m/>
    <m/>
    <m/>
    <m/>
    <m/>
    <m/>
    <m/>
    <m/>
  </r>
  <r>
    <x v="21"/>
    <x v="35"/>
    <m/>
    <m/>
    <m/>
    <m/>
    <m/>
    <m/>
    <n v="6"/>
    <n v="5"/>
    <n v="2"/>
    <m/>
    <n v="2"/>
    <m/>
    <n v="2"/>
    <n v="3"/>
    <n v="2"/>
    <n v="5"/>
    <m/>
  </r>
  <r>
    <x v="21"/>
    <x v="36"/>
    <m/>
    <m/>
    <m/>
    <m/>
    <m/>
    <m/>
    <m/>
    <m/>
    <m/>
    <m/>
    <m/>
    <m/>
    <m/>
    <m/>
    <m/>
    <m/>
    <m/>
  </r>
  <r>
    <x v="21"/>
    <x v="37"/>
    <m/>
    <m/>
    <m/>
    <m/>
    <m/>
    <m/>
    <m/>
    <m/>
    <m/>
    <m/>
    <m/>
    <m/>
    <m/>
    <m/>
    <m/>
    <m/>
    <m/>
  </r>
  <r>
    <x v="21"/>
    <x v="38"/>
    <m/>
    <m/>
    <m/>
    <m/>
    <m/>
    <m/>
    <m/>
    <m/>
    <m/>
    <m/>
    <m/>
    <m/>
    <m/>
    <m/>
    <m/>
    <m/>
    <m/>
  </r>
  <r>
    <x v="21"/>
    <x v="39"/>
    <m/>
    <m/>
    <m/>
    <m/>
    <m/>
    <m/>
    <m/>
    <m/>
    <m/>
    <m/>
    <m/>
    <m/>
    <m/>
    <m/>
    <m/>
    <m/>
    <m/>
  </r>
  <r>
    <x v="21"/>
    <x v="40"/>
    <m/>
    <m/>
    <m/>
    <m/>
    <m/>
    <m/>
    <m/>
    <m/>
    <m/>
    <m/>
    <m/>
    <m/>
    <m/>
    <m/>
    <m/>
    <m/>
    <m/>
  </r>
  <r>
    <x v="21"/>
    <x v="41"/>
    <m/>
    <m/>
    <m/>
    <m/>
    <m/>
    <m/>
    <m/>
    <m/>
    <m/>
    <m/>
    <m/>
    <m/>
    <m/>
    <m/>
    <m/>
    <m/>
    <m/>
  </r>
  <r>
    <x v="21"/>
    <x v="42"/>
    <m/>
    <m/>
    <m/>
    <m/>
    <m/>
    <m/>
    <m/>
    <m/>
    <m/>
    <m/>
    <m/>
    <m/>
    <m/>
    <m/>
    <m/>
    <m/>
    <m/>
  </r>
  <r>
    <x v="21"/>
    <x v="43"/>
    <m/>
    <m/>
    <m/>
    <m/>
    <m/>
    <m/>
    <m/>
    <m/>
    <m/>
    <m/>
    <m/>
    <m/>
    <m/>
    <m/>
    <m/>
    <m/>
    <m/>
  </r>
  <r>
    <x v="21"/>
    <x v="44"/>
    <m/>
    <m/>
    <m/>
    <m/>
    <m/>
    <m/>
    <m/>
    <m/>
    <m/>
    <m/>
    <m/>
    <m/>
    <m/>
    <m/>
    <m/>
    <m/>
    <m/>
  </r>
  <r>
    <x v="21"/>
    <x v="45"/>
    <m/>
    <m/>
    <m/>
    <m/>
    <m/>
    <m/>
    <m/>
    <m/>
    <m/>
    <m/>
    <m/>
    <m/>
    <m/>
    <m/>
    <m/>
    <m/>
    <m/>
  </r>
  <r>
    <x v="21"/>
    <x v="46"/>
    <m/>
    <m/>
    <m/>
    <m/>
    <m/>
    <m/>
    <m/>
    <m/>
    <m/>
    <m/>
    <m/>
    <m/>
    <m/>
    <m/>
    <m/>
    <m/>
    <m/>
  </r>
  <r>
    <x v="21"/>
    <x v="47"/>
    <m/>
    <m/>
    <m/>
    <m/>
    <m/>
    <m/>
    <m/>
    <m/>
    <m/>
    <m/>
    <m/>
    <m/>
    <m/>
    <m/>
    <m/>
    <m/>
    <m/>
  </r>
  <r>
    <x v="21"/>
    <x v="48"/>
    <m/>
    <m/>
    <m/>
    <m/>
    <m/>
    <m/>
    <m/>
    <m/>
    <m/>
    <m/>
    <m/>
    <m/>
    <m/>
    <m/>
    <m/>
    <m/>
    <m/>
  </r>
  <r>
    <x v="21"/>
    <x v="49"/>
    <m/>
    <m/>
    <m/>
    <m/>
    <m/>
    <m/>
    <m/>
    <m/>
    <m/>
    <m/>
    <m/>
    <m/>
    <m/>
    <m/>
    <m/>
    <m/>
    <m/>
  </r>
  <r>
    <x v="21"/>
    <x v="50"/>
    <m/>
    <m/>
    <m/>
    <m/>
    <m/>
    <m/>
    <m/>
    <m/>
    <m/>
    <m/>
    <m/>
    <m/>
    <m/>
    <m/>
    <m/>
    <m/>
    <m/>
  </r>
  <r>
    <x v="21"/>
    <x v="51"/>
    <m/>
    <m/>
    <m/>
    <m/>
    <m/>
    <m/>
    <m/>
    <m/>
    <m/>
    <m/>
    <m/>
    <m/>
    <m/>
    <m/>
    <m/>
    <m/>
    <m/>
  </r>
  <r>
    <x v="22"/>
    <x v="0"/>
    <m/>
    <n v="1"/>
    <m/>
    <n v="1"/>
    <m/>
    <n v="1"/>
    <m/>
    <m/>
    <m/>
    <m/>
    <m/>
    <m/>
    <m/>
    <m/>
    <m/>
    <m/>
    <m/>
  </r>
  <r>
    <x v="22"/>
    <x v="1"/>
    <m/>
    <m/>
    <m/>
    <m/>
    <m/>
    <m/>
    <m/>
    <m/>
    <m/>
    <m/>
    <m/>
    <m/>
    <m/>
    <m/>
    <m/>
    <m/>
    <m/>
  </r>
  <r>
    <x v="22"/>
    <x v="2"/>
    <m/>
    <m/>
    <m/>
    <m/>
    <m/>
    <m/>
    <m/>
    <m/>
    <m/>
    <m/>
    <m/>
    <m/>
    <m/>
    <m/>
    <m/>
    <m/>
    <m/>
  </r>
  <r>
    <x v="22"/>
    <x v="3"/>
    <m/>
    <m/>
    <m/>
    <m/>
    <m/>
    <m/>
    <m/>
    <m/>
    <m/>
    <m/>
    <m/>
    <m/>
    <m/>
    <m/>
    <m/>
    <m/>
    <m/>
  </r>
  <r>
    <x v="22"/>
    <x v="4"/>
    <m/>
    <m/>
    <m/>
    <m/>
    <m/>
    <m/>
    <m/>
    <m/>
    <m/>
    <m/>
    <m/>
    <m/>
    <m/>
    <m/>
    <m/>
    <m/>
    <m/>
  </r>
  <r>
    <x v="22"/>
    <x v="5"/>
    <m/>
    <m/>
    <m/>
    <m/>
    <m/>
    <m/>
    <m/>
    <m/>
    <m/>
    <m/>
    <m/>
    <m/>
    <m/>
    <m/>
    <m/>
    <m/>
    <m/>
  </r>
  <r>
    <x v="22"/>
    <x v="6"/>
    <m/>
    <m/>
    <m/>
    <m/>
    <m/>
    <m/>
    <m/>
    <m/>
    <m/>
    <m/>
    <m/>
    <m/>
    <m/>
    <m/>
    <m/>
    <m/>
    <m/>
  </r>
  <r>
    <x v="22"/>
    <x v="7"/>
    <m/>
    <m/>
    <m/>
    <m/>
    <m/>
    <m/>
    <m/>
    <m/>
    <m/>
    <m/>
    <m/>
    <m/>
    <m/>
    <m/>
    <m/>
    <m/>
    <m/>
  </r>
  <r>
    <x v="22"/>
    <x v="8"/>
    <m/>
    <m/>
    <m/>
    <m/>
    <m/>
    <m/>
    <m/>
    <m/>
    <m/>
    <m/>
    <m/>
    <m/>
    <m/>
    <m/>
    <m/>
    <m/>
    <m/>
  </r>
  <r>
    <x v="22"/>
    <x v="9"/>
    <m/>
    <m/>
    <m/>
    <m/>
    <m/>
    <m/>
    <m/>
    <m/>
    <m/>
    <m/>
    <m/>
    <m/>
    <m/>
    <m/>
    <m/>
    <m/>
    <m/>
  </r>
  <r>
    <x v="22"/>
    <x v="10"/>
    <m/>
    <m/>
    <m/>
    <m/>
    <m/>
    <m/>
    <m/>
    <m/>
    <m/>
    <m/>
    <m/>
    <m/>
    <m/>
    <m/>
    <m/>
    <m/>
    <m/>
  </r>
  <r>
    <x v="22"/>
    <x v="11"/>
    <m/>
    <m/>
    <m/>
    <m/>
    <m/>
    <m/>
    <m/>
    <m/>
    <m/>
    <m/>
    <m/>
    <m/>
    <m/>
    <m/>
    <m/>
    <m/>
    <m/>
  </r>
  <r>
    <x v="22"/>
    <x v="12"/>
    <m/>
    <m/>
    <m/>
    <m/>
    <m/>
    <m/>
    <m/>
    <m/>
    <m/>
    <m/>
    <m/>
    <m/>
    <m/>
    <m/>
    <m/>
    <m/>
    <m/>
  </r>
  <r>
    <x v="22"/>
    <x v="13"/>
    <m/>
    <m/>
    <m/>
    <m/>
    <m/>
    <m/>
    <m/>
    <m/>
    <m/>
    <m/>
    <m/>
    <m/>
    <m/>
    <m/>
    <m/>
    <m/>
    <m/>
  </r>
  <r>
    <x v="22"/>
    <x v="14"/>
    <m/>
    <m/>
    <m/>
    <m/>
    <m/>
    <m/>
    <m/>
    <m/>
    <m/>
    <m/>
    <m/>
    <m/>
    <m/>
    <m/>
    <m/>
    <m/>
    <m/>
  </r>
  <r>
    <x v="22"/>
    <x v="15"/>
    <m/>
    <m/>
    <m/>
    <m/>
    <m/>
    <m/>
    <m/>
    <m/>
    <m/>
    <m/>
    <m/>
    <m/>
    <m/>
    <m/>
    <m/>
    <m/>
    <m/>
  </r>
  <r>
    <x v="22"/>
    <x v="16"/>
    <m/>
    <m/>
    <m/>
    <m/>
    <m/>
    <m/>
    <m/>
    <m/>
    <m/>
    <m/>
    <m/>
    <m/>
    <m/>
    <m/>
    <m/>
    <m/>
    <m/>
  </r>
  <r>
    <x v="22"/>
    <x v="17"/>
    <m/>
    <m/>
    <m/>
    <m/>
    <m/>
    <m/>
    <m/>
    <m/>
    <m/>
    <m/>
    <m/>
    <m/>
    <m/>
    <m/>
    <m/>
    <m/>
    <m/>
  </r>
  <r>
    <x v="22"/>
    <x v="18"/>
    <m/>
    <n v="1"/>
    <n v="1"/>
    <m/>
    <m/>
    <n v="1"/>
    <n v="13"/>
    <n v="3"/>
    <m/>
    <m/>
    <m/>
    <m/>
    <m/>
    <m/>
    <n v="2"/>
    <n v="2"/>
    <m/>
  </r>
  <r>
    <x v="22"/>
    <x v="19"/>
    <m/>
    <m/>
    <m/>
    <m/>
    <m/>
    <m/>
    <m/>
    <m/>
    <m/>
    <m/>
    <m/>
    <m/>
    <m/>
    <m/>
    <m/>
    <m/>
    <m/>
  </r>
  <r>
    <x v="22"/>
    <x v="20"/>
    <m/>
    <m/>
    <m/>
    <m/>
    <m/>
    <m/>
    <m/>
    <m/>
    <m/>
    <m/>
    <m/>
    <m/>
    <m/>
    <m/>
    <m/>
    <m/>
    <m/>
  </r>
  <r>
    <x v="22"/>
    <x v="21"/>
    <m/>
    <m/>
    <m/>
    <m/>
    <m/>
    <m/>
    <m/>
    <m/>
    <m/>
    <m/>
    <m/>
    <m/>
    <m/>
    <m/>
    <m/>
    <m/>
    <m/>
  </r>
  <r>
    <x v="22"/>
    <x v="22"/>
    <m/>
    <m/>
    <m/>
    <m/>
    <m/>
    <m/>
    <m/>
    <m/>
    <m/>
    <m/>
    <m/>
    <m/>
    <m/>
    <m/>
    <m/>
    <m/>
    <m/>
  </r>
  <r>
    <x v="22"/>
    <x v="23"/>
    <m/>
    <m/>
    <m/>
    <m/>
    <m/>
    <m/>
    <m/>
    <m/>
    <m/>
    <m/>
    <m/>
    <m/>
    <m/>
    <m/>
    <m/>
    <m/>
    <m/>
  </r>
  <r>
    <x v="22"/>
    <x v="24"/>
    <m/>
    <m/>
    <m/>
    <m/>
    <m/>
    <m/>
    <m/>
    <m/>
    <m/>
    <m/>
    <m/>
    <m/>
    <m/>
    <m/>
    <m/>
    <m/>
    <m/>
  </r>
  <r>
    <x v="22"/>
    <x v="25"/>
    <m/>
    <m/>
    <m/>
    <m/>
    <m/>
    <m/>
    <m/>
    <m/>
    <m/>
    <m/>
    <m/>
    <m/>
    <m/>
    <m/>
    <m/>
    <m/>
    <m/>
  </r>
  <r>
    <x v="22"/>
    <x v="26"/>
    <m/>
    <m/>
    <m/>
    <m/>
    <m/>
    <m/>
    <m/>
    <m/>
    <m/>
    <m/>
    <m/>
    <m/>
    <m/>
    <m/>
    <m/>
    <m/>
    <m/>
  </r>
  <r>
    <x v="22"/>
    <x v="27"/>
    <m/>
    <m/>
    <m/>
    <m/>
    <m/>
    <m/>
    <m/>
    <m/>
    <m/>
    <m/>
    <m/>
    <m/>
    <m/>
    <m/>
    <m/>
    <m/>
    <m/>
  </r>
  <r>
    <x v="22"/>
    <x v="28"/>
    <m/>
    <m/>
    <m/>
    <m/>
    <m/>
    <m/>
    <m/>
    <m/>
    <m/>
    <m/>
    <m/>
    <m/>
    <m/>
    <m/>
    <m/>
    <m/>
    <m/>
  </r>
  <r>
    <x v="22"/>
    <x v="29"/>
    <m/>
    <m/>
    <m/>
    <m/>
    <m/>
    <m/>
    <m/>
    <m/>
    <m/>
    <m/>
    <m/>
    <m/>
    <m/>
    <m/>
    <m/>
    <m/>
    <m/>
  </r>
  <r>
    <x v="22"/>
    <x v="30"/>
    <m/>
    <m/>
    <m/>
    <m/>
    <m/>
    <m/>
    <m/>
    <m/>
    <m/>
    <m/>
    <m/>
    <m/>
    <m/>
    <m/>
    <m/>
    <m/>
    <m/>
  </r>
  <r>
    <x v="22"/>
    <x v="31"/>
    <m/>
    <m/>
    <m/>
    <m/>
    <m/>
    <m/>
    <m/>
    <m/>
    <m/>
    <m/>
    <m/>
    <m/>
    <m/>
    <m/>
    <m/>
    <m/>
    <m/>
  </r>
  <r>
    <x v="22"/>
    <x v="32"/>
    <m/>
    <m/>
    <m/>
    <m/>
    <m/>
    <m/>
    <m/>
    <m/>
    <m/>
    <m/>
    <m/>
    <m/>
    <m/>
    <m/>
    <m/>
    <m/>
    <m/>
  </r>
  <r>
    <x v="22"/>
    <x v="33"/>
    <m/>
    <m/>
    <m/>
    <m/>
    <m/>
    <m/>
    <m/>
    <m/>
    <m/>
    <m/>
    <m/>
    <m/>
    <m/>
    <m/>
    <m/>
    <m/>
    <m/>
  </r>
  <r>
    <x v="22"/>
    <x v="34"/>
    <m/>
    <n v="1"/>
    <m/>
    <n v="1"/>
    <m/>
    <n v="1"/>
    <m/>
    <m/>
    <m/>
    <m/>
    <m/>
    <m/>
    <m/>
    <m/>
    <m/>
    <m/>
    <m/>
  </r>
  <r>
    <x v="22"/>
    <x v="35"/>
    <m/>
    <m/>
    <m/>
    <m/>
    <m/>
    <m/>
    <m/>
    <m/>
    <m/>
    <m/>
    <m/>
    <m/>
    <m/>
    <m/>
    <m/>
    <m/>
    <m/>
  </r>
  <r>
    <x v="22"/>
    <x v="36"/>
    <m/>
    <m/>
    <m/>
    <m/>
    <m/>
    <m/>
    <m/>
    <m/>
    <m/>
    <m/>
    <m/>
    <m/>
    <m/>
    <m/>
    <m/>
    <m/>
    <m/>
  </r>
  <r>
    <x v="22"/>
    <x v="37"/>
    <m/>
    <m/>
    <m/>
    <m/>
    <m/>
    <m/>
    <m/>
    <m/>
    <m/>
    <m/>
    <m/>
    <m/>
    <m/>
    <m/>
    <m/>
    <m/>
    <m/>
  </r>
  <r>
    <x v="22"/>
    <x v="38"/>
    <m/>
    <m/>
    <m/>
    <m/>
    <m/>
    <m/>
    <m/>
    <m/>
    <m/>
    <m/>
    <m/>
    <m/>
    <m/>
    <m/>
    <m/>
    <m/>
    <m/>
  </r>
  <r>
    <x v="22"/>
    <x v="39"/>
    <m/>
    <m/>
    <m/>
    <m/>
    <m/>
    <m/>
    <m/>
    <m/>
    <m/>
    <m/>
    <m/>
    <m/>
    <m/>
    <m/>
    <m/>
    <m/>
    <m/>
  </r>
  <r>
    <x v="22"/>
    <x v="40"/>
    <m/>
    <m/>
    <m/>
    <m/>
    <m/>
    <m/>
    <m/>
    <m/>
    <m/>
    <m/>
    <m/>
    <m/>
    <m/>
    <m/>
    <m/>
    <m/>
    <m/>
  </r>
  <r>
    <x v="22"/>
    <x v="41"/>
    <m/>
    <m/>
    <m/>
    <m/>
    <m/>
    <m/>
    <m/>
    <m/>
    <m/>
    <m/>
    <m/>
    <m/>
    <m/>
    <m/>
    <m/>
    <m/>
    <m/>
  </r>
  <r>
    <x v="22"/>
    <x v="42"/>
    <m/>
    <m/>
    <m/>
    <m/>
    <m/>
    <m/>
    <m/>
    <m/>
    <m/>
    <m/>
    <m/>
    <m/>
    <m/>
    <m/>
    <m/>
    <m/>
    <m/>
  </r>
  <r>
    <x v="22"/>
    <x v="43"/>
    <m/>
    <m/>
    <m/>
    <m/>
    <m/>
    <m/>
    <m/>
    <m/>
    <m/>
    <m/>
    <m/>
    <m/>
    <m/>
    <m/>
    <m/>
    <m/>
    <m/>
  </r>
  <r>
    <x v="22"/>
    <x v="44"/>
    <m/>
    <m/>
    <m/>
    <m/>
    <m/>
    <m/>
    <m/>
    <m/>
    <m/>
    <m/>
    <m/>
    <m/>
    <m/>
    <m/>
    <m/>
    <m/>
    <m/>
  </r>
  <r>
    <x v="22"/>
    <x v="45"/>
    <m/>
    <m/>
    <m/>
    <m/>
    <m/>
    <m/>
    <m/>
    <m/>
    <m/>
    <m/>
    <m/>
    <m/>
    <m/>
    <m/>
    <m/>
    <m/>
    <m/>
  </r>
  <r>
    <x v="22"/>
    <x v="46"/>
    <m/>
    <m/>
    <m/>
    <m/>
    <m/>
    <m/>
    <m/>
    <m/>
    <m/>
    <m/>
    <m/>
    <m/>
    <m/>
    <m/>
    <m/>
    <m/>
    <m/>
  </r>
  <r>
    <x v="22"/>
    <x v="47"/>
    <m/>
    <m/>
    <m/>
    <m/>
    <m/>
    <m/>
    <m/>
    <m/>
    <m/>
    <m/>
    <m/>
    <m/>
    <m/>
    <m/>
    <m/>
    <m/>
    <m/>
  </r>
  <r>
    <x v="22"/>
    <x v="48"/>
    <m/>
    <m/>
    <m/>
    <m/>
    <m/>
    <m/>
    <m/>
    <m/>
    <m/>
    <m/>
    <m/>
    <m/>
    <m/>
    <m/>
    <m/>
    <m/>
    <m/>
  </r>
  <r>
    <x v="22"/>
    <x v="49"/>
    <n v="1"/>
    <n v="1"/>
    <n v="1"/>
    <n v="1"/>
    <n v="1"/>
    <n v="1"/>
    <n v="3"/>
    <n v="4"/>
    <m/>
    <m/>
    <n v="1"/>
    <m/>
    <m/>
    <m/>
    <n v="1"/>
    <n v="4"/>
    <m/>
  </r>
  <r>
    <x v="23"/>
    <x v="3"/>
    <m/>
    <m/>
    <n v="1"/>
    <n v="1"/>
    <m/>
    <m/>
    <n v="1"/>
    <n v="1"/>
    <n v="1"/>
    <m/>
    <n v="1"/>
    <n v="1"/>
    <m/>
    <m/>
    <n v="1"/>
    <m/>
    <m/>
  </r>
  <r>
    <x v="23"/>
    <x v="4"/>
    <m/>
    <m/>
    <n v="1"/>
    <n v="1"/>
    <m/>
    <m/>
    <n v="1"/>
    <n v="1"/>
    <n v="1"/>
    <m/>
    <n v="1"/>
    <n v="1"/>
    <m/>
    <m/>
    <n v="1"/>
    <m/>
    <m/>
  </r>
  <r>
    <x v="23"/>
    <x v="5"/>
    <m/>
    <m/>
    <m/>
    <m/>
    <m/>
    <m/>
    <m/>
    <m/>
    <m/>
    <m/>
    <m/>
    <m/>
    <m/>
    <m/>
    <m/>
    <m/>
    <m/>
  </r>
  <r>
    <x v="23"/>
    <x v="6"/>
    <m/>
    <m/>
    <m/>
    <m/>
    <m/>
    <m/>
    <m/>
    <m/>
    <m/>
    <m/>
    <m/>
    <m/>
    <m/>
    <m/>
    <m/>
    <m/>
    <m/>
  </r>
  <r>
    <x v="23"/>
    <x v="7"/>
    <m/>
    <m/>
    <m/>
    <m/>
    <m/>
    <m/>
    <m/>
    <m/>
    <m/>
    <m/>
    <m/>
    <m/>
    <m/>
    <m/>
    <m/>
    <m/>
    <m/>
  </r>
  <r>
    <x v="23"/>
    <x v="8"/>
    <m/>
    <m/>
    <m/>
    <m/>
    <m/>
    <m/>
    <m/>
    <m/>
    <m/>
    <m/>
    <m/>
    <m/>
    <m/>
    <m/>
    <m/>
    <m/>
    <m/>
  </r>
  <r>
    <x v="23"/>
    <x v="9"/>
    <m/>
    <m/>
    <m/>
    <m/>
    <m/>
    <m/>
    <m/>
    <m/>
    <m/>
    <m/>
    <m/>
    <m/>
    <m/>
    <m/>
    <m/>
    <m/>
    <m/>
  </r>
  <r>
    <x v="23"/>
    <x v="10"/>
    <m/>
    <m/>
    <m/>
    <m/>
    <m/>
    <m/>
    <m/>
    <m/>
    <m/>
    <m/>
    <m/>
    <m/>
    <m/>
    <m/>
    <m/>
    <m/>
    <m/>
  </r>
  <r>
    <x v="23"/>
    <x v="11"/>
    <m/>
    <m/>
    <m/>
    <m/>
    <m/>
    <m/>
    <m/>
    <m/>
    <m/>
    <m/>
    <m/>
    <m/>
    <m/>
    <m/>
    <m/>
    <m/>
    <m/>
  </r>
  <r>
    <x v="23"/>
    <x v="12"/>
    <m/>
    <m/>
    <m/>
    <m/>
    <m/>
    <m/>
    <m/>
    <m/>
    <m/>
    <m/>
    <m/>
    <m/>
    <m/>
    <m/>
    <m/>
    <m/>
    <m/>
  </r>
  <r>
    <x v="23"/>
    <x v="13"/>
    <m/>
    <m/>
    <m/>
    <m/>
    <m/>
    <m/>
    <m/>
    <m/>
    <m/>
    <m/>
    <m/>
    <m/>
    <m/>
    <m/>
    <m/>
    <m/>
    <m/>
  </r>
  <r>
    <x v="23"/>
    <x v="14"/>
    <m/>
    <m/>
    <m/>
    <m/>
    <m/>
    <m/>
    <m/>
    <m/>
    <n v="1"/>
    <m/>
    <m/>
    <m/>
    <m/>
    <m/>
    <m/>
    <m/>
    <m/>
  </r>
  <r>
    <x v="23"/>
    <x v="15"/>
    <m/>
    <m/>
    <n v="3"/>
    <n v="3"/>
    <n v="3"/>
    <n v="2"/>
    <n v="5"/>
    <n v="5"/>
    <n v="10"/>
    <m/>
    <n v="2"/>
    <n v="6"/>
    <n v="6"/>
    <n v="2"/>
    <n v="10"/>
    <n v="15"/>
    <m/>
  </r>
  <r>
    <x v="23"/>
    <x v="16"/>
    <m/>
    <m/>
    <m/>
    <m/>
    <m/>
    <m/>
    <m/>
    <m/>
    <m/>
    <m/>
    <m/>
    <m/>
    <m/>
    <m/>
    <m/>
    <m/>
    <m/>
  </r>
  <r>
    <x v="23"/>
    <x v="17"/>
    <m/>
    <m/>
    <m/>
    <m/>
    <m/>
    <m/>
    <m/>
    <m/>
    <m/>
    <m/>
    <m/>
    <m/>
    <m/>
    <m/>
    <m/>
    <m/>
    <m/>
  </r>
  <r>
    <x v="23"/>
    <x v="18"/>
    <m/>
    <m/>
    <m/>
    <m/>
    <m/>
    <m/>
    <m/>
    <m/>
    <m/>
    <m/>
    <m/>
    <m/>
    <m/>
    <m/>
    <m/>
    <m/>
    <m/>
  </r>
  <r>
    <x v="23"/>
    <x v="19"/>
    <m/>
    <m/>
    <m/>
    <m/>
    <m/>
    <m/>
    <m/>
    <m/>
    <m/>
    <m/>
    <m/>
    <m/>
    <m/>
    <m/>
    <m/>
    <m/>
    <m/>
  </r>
  <r>
    <x v="23"/>
    <x v="20"/>
    <m/>
    <m/>
    <m/>
    <m/>
    <m/>
    <m/>
    <n v="1"/>
    <n v="1"/>
    <n v="1"/>
    <m/>
    <m/>
    <n v="1"/>
    <m/>
    <m/>
    <n v="1"/>
    <m/>
    <m/>
  </r>
  <r>
    <x v="23"/>
    <x v="21"/>
    <m/>
    <m/>
    <m/>
    <m/>
    <m/>
    <m/>
    <m/>
    <m/>
    <m/>
    <m/>
    <m/>
    <m/>
    <m/>
    <m/>
    <m/>
    <m/>
    <m/>
  </r>
  <r>
    <x v="23"/>
    <x v="22"/>
    <m/>
    <m/>
    <m/>
    <m/>
    <m/>
    <m/>
    <m/>
    <m/>
    <m/>
    <m/>
    <m/>
    <m/>
    <m/>
    <m/>
    <m/>
    <m/>
    <m/>
  </r>
  <r>
    <x v="23"/>
    <x v="23"/>
    <m/>
    <m/>
    <m/>
    <m/>
    <m/>
    <m/>
    <m/>
    <m/>
    <m/>
    <m/>
    <m/>
    <m/>
    <m/>
    <m/>
    <m/>
    <m/>
    <m/>
  </r>
  <r>
    <x v="23"/>
    <x v="24"/>
    <m/>
    <m/>
    <m/>
    <m/>
    <m/>
    <m/>
    <m/>
    <m/>
    <m/>
    <m/>
    <m/>
    <m/>
    <m/>
    <m/>
    <m/>
    <m/>
    <m/>
  </r>
  <r>
    <x v="23"/>
    <x v="25"/>
    <m/>
    <m/>
    <m/>
    <m/>
    <m/>
    <m/>
    <m/>
    <m/>
    <m/>
    <m/>
    <m/>
    <m/>
    <m/>
    <m/>
    <m/>
    <m/>
    <m/>
  </r>
  <r>
    <x v="23"/>
    <x v="26"/>
    <m/>
    <m/>
    <m/>
    <m/>
    <m/>
    <m/>
    <m/>
    <m/>
    <m/>
    <m/>
    <m/>
    <m/>
    <m/>
    <m/>
    <m/>
    <m/>
    <m/>
  </r>
  <r>
    <x v="23"/>
    <x v="27"/>
    <m/>
    <m/>
    <m/>
    <m/>
    <m/>
    <m/>
    <m/>
    <m/>
    <m/>
    <m/>
    <m/>
    <m/>
    <m/>
    <m/>
    <m/>
    <m/>
    <m/>
  </r>
  <r>
    <x v="23"/>
    <x v="28"/>
    <m/>
    <m/>
    <m/>
    <m/>
    <m/>
    <m/>
    <m/>
    <m/>
    <m/>
    <m/>
    <m/>
    <m/>
    <m/>
    <m/>
    <m/>
    <m/>
    <m/>
  </r>
  <r>
    <x v="23"/>
    <x v="29"/>
    <m/>
    <m/>
    <m/>
    <m/>
    <m/>
    <m/>
    <m/>
    <m/>
    <m/>
    <m/>
    <m/>
    <m/>
    <m/>
    <m/>
    <m/>
    <m/>
    <m/>
  </r>
  <r>
    <x v="23"/>
    <x v="30"/>
    <m/>
    <m/>
    <m/>
    <m/>
    <m/>
    <m/>
    <m/>
    <m/>
    <m/>
    <m/>
    <m/>
    <m/>
    <m/>
    <m/>
    <m/>
    <m/>
    <m/>
  </r>
  <r>
    <x v="23"/>
    <x v="31"/>
    <m/>
    <m/>
    <m/>
    <m/>
    <m/>
    <m/>
    <m/>
    <m/>
    <m/>
    <m/>
    <m/>
    <m/>
    <m/>
    <m/>
    <m/>
    <m/>
    <m/>
  </r>
  <r>
    <x v="23"/>
    <x v="32"/>
    <m/>
    <m/>
    <m/>
    <m/>
    <m/>
    <m/>
    <n v="1"/>
    <n v="1"/>
    <n v="1"/>
    <m/>
    <m/>
    <n v="1"/>
    <m/>
    <m/>
    <n v="1"/>
    <m/>
    <m/>
  </r>
  <r>
    <x v="23"/>
    <x v="33"/>
    <m/>
    <m/>
    <m/>
    <m/>
    <m/>
    <m/>
    <m/>
    <m/>
    <m/>
    <m/>
    <m/>
    <m/>
    <m/>
    <m/>
    <m/>
    <m/>
    <m/>
  </r>
  <r>
    <x v="23"/>
    <x v="34"/>
    <m/>
    <m/>
    <m/>
    <m/>
    <m/>
    <m/>
    <m/>
    <m/>
    <m/>
    <m/>
    <m/>
    <m/>
    <m/>
    <m/>
    <m/>
    <m/>
    <m/>
  </r>
  <r>
    <x v="23"/>
    <x v="35"/>
    <m/>
    <m/>
    <m/>
    <m/>
    <m/>
    <m/>
    <m/>
    <n v="1"/>
    <n v="1"/>
    <m/>
    <m/>
    <m/>
    <m/>
    <m/>
    <n v="1"/>
    <m/>
    <m/>
  </r>
  <r>
    <x v="23"/>
    <x v="36"/>
    <m/>
    <m/>
    <m/>
    <m/>
    <m/>
    <m/>
    <m/>
    <m/>
    <m/>
    <m/>
    <m/>
    <m/>
    <m/>
    <m/>
    <m/>
    <m/>
    <m/>
  </r>
  <r>
    <x v="23"/>
    <x v="37"/>
    <m/>
    <m/>
    <m/>
    <m/>
    <m/>
    <m/>
    <m/>
    <m/>
    <m/>
    <m/>
    <m/>
    <m/>
    <m/>
    <m/>
    <m/>
    <m/>
    <m/>
  </r>
  <r>
    <x v="23"/>
    <x v="38"/>
    <m/>
    <m/>
    <m/>
    <m/>
    <m/>
    <m/>
    <m/>
    <m/>
    <m/>
    <m/>
    <m/>
    <m/>
    <m/>
    <m/>
    <m/>
    <m/>
    <m/>
  </r>
  <r>
    <x v="23"/>
    <x v="39"/>
    <m/>
    <m/>
    <m/>
    <m/>
    <m/>
    <m/>
    <m/>
    <m/>
    <m/>
    <m/>
    <m/>
    <m/>
    <m/>
    <m/>
    <m/>
    <m/>
    <m/>
  </r>
  <r>
    <x v="23"/>
    <x v="40"/>
    <m/>
    <m/>
    <m/>
    <m/>
    <m/>
    <m/>
    <m/>
    <m/>
    <m/>
    <m/>
    <m/>
    <m/>
    <m/>
    <m/>
    <m/>
    <m/>
    <m/>
  </r>
  <r>
    <x v="23"/>
    <x v="41"/>
    <m/>
    <m/>
    <m/>
    <m/>
    <m/>
    <m/>
    <m/>
    <m/>
    <m/>
    <m/>
    <m/>
    <m/>
    <m/>
    <m/>
    <m/>
    <m/>
    <m/>
  </r>
  <r>
    <x v="23"/>
    <x v="42"/>
    <m/>
    <m/>
    <m/>
    <m/>
    <m/>
    <m/>
    <n v="1"/>
    <n v="1"/>
    <n v="1"/>
    <m/>
    <n v="1"/>
    <n v="1"/>
    <m/>
    <m/>
    <n v="1"/>
    <m/>
    <m/>
  </r>
  <r>
    <x v="23"/>
    <x v="43"/>
    <m/>
    <m/>
    <m/>
    <m/>
    <m/>
    <m/>
    <m/>
    <m/>
    <m/>
    <m/>
    <m/>
    <m/>
    <m/>
    <m/>
    <m/>
    <m/>
    <m/>
  </r>
  <r>
    <x v="23"/>
    <x v="44"/>
    <m/>
    <m/>
    <m/>
    <m/>
    <m/>
    <m/>
    <m/>
    <m/>
    <m/>
    <m/>
    <m/>
    <m/>
    <m/>
    <m/>
    <m/>
    <m/>
    <m/>
  </r>
  <r>
    <x v="23"/>
    <x v="45"/>
    <m/>
    <m/>
    <m/>
    <m/>
    <m/>
    <m/>
    <m/>
    <m/>
    <m/>
    <m/>
    <m/>
    <m/>
    <m/>
    <m/>
    <m/>
    <m/>
    <m/>
  </r>
  <r>
    <x v="23"/>
    <x v="46"/>
    <m/>
    <m/>
    <m/>
    <m/>
    <m/>
    <m/>
    <m/>
    <m/>
    <m/>
    <m/>
    <m/>
    <m/>
    <m/>
    <m/>
    <m/>
    <m/>
    <m/>
  </r>
  <r>
    <x v="23"/>
    <x v="47"/>
    <m/>
    <m/>
    <m/>
    <m/>
    <m/>
    <m/>
    <m/>
    <m/>
    <m/>
    <m/>
    <m/>
    <m/>
    <m/>
    <m/>
    <m/>
    <m/>
    <m/>
  </r>
  <r>
    <x v="23"/>
    <x v="48"/>
    <m/>
    <m/>
    <m/>
    <m/>
    <m/>
    <m/>
    <m/>
    <m/>
    <m/>
    <m/>
    <m/>
    <m/>
    <m/>
    <m/>
    <m/>
    <m/>
    <m/>
  </r>
  <r>
    <x v="23"/>
    <x v="49"/>
    <m/>
    <m/>
    <m/>
    <m/>
    <m/>
    <m/>
    <m/>
    <m/>
    <m/>
    <m/>
    <m/>
    <m/>
    <m/>
    <m/>
    <m/>
    <m/>
    <m/>
  </r>
  <r>
    <x v="23"/>
    <x v="50"/>
    <m/>
    <m/>
    <m/>
    <m/>
    <m/>
    <m/>
    <n v="1"/>
    <n v="1"/>
    <n v="1"/>
    <m/>
    <n v="1"/>
    <n v="1"/>
    <m/>
    <m/>
    <n v="1"/>
    <m/>
    <m/>
  </r>
  <r>
    <x v="23"/>
    <x v="51"/>
    <m/>
    <m/>
    <m/>
    <m/>
    <m/>
    <m/>
    <n v="1"/>
    <n v="1"/>
    <n v="1"/>
    <m/>
    <n v="1"/>
    <n v="1"/>
    <m/>
    <m/>
    <n v="1"/>
    <m/>
    <m/>
  </r>
  <r>
    <x v="24"/>
    <x v="0"/>
    <m/>
    <n v="1"/>
    <m/>
    <n v="1"/>
    <m/>
    <n v="1"/>
    <m/>
    <m/>
    <m/>
    <m/>
    <m/>
    <m/>
    <m/>
    <m/>
    <m/>
    <m/>
    <m/>
  </r>
  <r>
    <x v="24"/>
    <x v="1"/>
    <m/>
    <m/>
    <m/>
    <m/>
    <m/>
    <m/>
    <m/>
    <m/>
    <m/>
    <m/>
    <m/>
    <m/>
    <m/>
    <m/>
    <m/>
    <m/>
    <m/>
  </r>
  <r>
    <x v="24"/>
    <x v="2"/>
    <m/>
    <m/>
    <m/>
    <m/>
    <m/>
    <m/>
    <n v="2"/>
    <n v="1"/>
    <n v="1"/>
    <m/>
    <n v="1"/>
    <n v="1"/>
    <m/>
    <n v="2"/>
    <n v="1"/>
    <n v="1"/>
    <m/>
  </r>
  <r>
    <x v="24"/>
    <x v="3"/>
    <m/>
    <m/>
    <n v="1"/>
    <n v="1"/>
    <m/>
    <m/>
    <n v="5"/>
    <n v="2"/>
    <n v="2"/>
    <m/>
    <n v="2"/>
    <n v="1"/>
    <n v="5"/>
    <n v="1"/>
    <n v="2"/>
    <n v="6"/>
    <m/>
  </r>
  <r>
    <x v="24"/>
    <x v="4"/>
    <m/>
    <m/>
    <n v="1"/>
    <n v="1"/>
    <m/>
    <m/>
    <n v="1"/>
    <n v="1"/>
    <n v="1"/>
    <m/>
    <n v="1"/>
    <n v="1"/>
    <m/>
    <m/>
    <n v="1"/>
    <m/>
    <m/>
  </r>
  <r>
    <x v="24"/>
    <x v="5"/>
    <m/>
    <m/>
    <m/>
    <m/>
    <m/>
    <m/>
    <m/>
    <m/>
    <m/>
    <m/>
    <m/>
    <m/>
    <m/>
    <m/>
    <m/>
    <m/>
    <m/>
  </r>
  <r>
    <x v="24"/>
    <x v="73"/>
    <m/>
    <m/>
    <m/>
    <m/>
    <m/>
    <m/>
    <m/>
    <n v="1"/>
    <m/>
    <m/>
    <m/>
    <m/>
    <m/>
    <m/>
    <n v="1"/>
    <n v="1"/>
    <m/>
  </r>
  <r>
    <x v="24"/>
    <x v="6"/>
    <m/>
    <m/>
    <m/>
    <m/>
    <m/>
    <m/>
    <n v="1"/>
    <m/>
    <m/>
    <m/>
    <m/>
    <m/>
    <m/>
    <m/>
    <m/>
    <m/>
    <m/>
  </r>
  <r>
    <x v="24"/>
    <x v="7"/>
    <m/>
    <n v="1"/>
    <m/>
    <n v="1"/>
    <m/>
    <n v="1"/>
    <m/>
    <m/>
    <m/>
    <m/>
    <n v="1"/>
    <m/>
    <m/>
    <m/>
    <m/>
    <m/>
    <m/>
  </r>
  <r>
    <x v="24"/>
    <x v="8"/>
    <m/>
    <m/>
    <m/>
    <m/>
    <m/>
    <m/>
    <m/>
    <m/>
    <m/>
    <m/>
    <m/>
    <m/>
    <m/>
    <m/>
    <m/>
    <m/>
    <m/>
  </r>
  <r>
    <x v="24"/>
    <x v="9"/>
    <m/>
    <m/>
    <m/>
    <m/>
    <m/>
    <m/>
    <n v="1"/>
    <m/>
    <m/>
    <m/>
    <n v="1"/>
    <m/>
    <n v="1"/>
    <m/>
    <m/>
    <n v="1"/>
    <m/>
  </r>
  <r>
    <x v="24"/>
    <x v="10"/>
    <m/>
    <m/>
    <m/>
    <m/>
    <m/>
    <m/>
    <m/>
    <m/>
    <m/>
    <m/>
    <m/>
    <m/>
    <m/>
    <m/>
    <m/>
    <m/>
    <m/>
  </r>
  <r>
    <x v="24"/>
    <x v="11"/>
    <m/>
    <m/>
    <m/>
    <m/>
    <m/>
    <m/>
    <m/>
    <m/>
    <m/>
    <m/>
    <m/>
    <m/>
    <m/>
    <m/>
    <m/>
    <m/>
    <m/>
  </r>
  <r>
    <x v="24"/>
    <x v="12"/>
    <m/>
    <m/>
    <m/>
    <m/>
    <m/>
    <m/>
    <m/>
    <m/>
    <m/>
    <m/>
    <m/>
    <m/>
    <m/>
    <m/>
    <m/>
    <m/>
    <m/>
  </r>
  <r>
    <x v="24"/>
    <x v="13"/>
    <m/>
    <m/>
    <m/>
    <m/>
    <m/>
    <m/>
    <m/>
    <m/>
    <m/>
    <m/>
    <m/>
    <m/>
    <m/>
    <m/>
    <m/>
    <m/>
    <m/>
  </r>
  <r>
    <x v="24"/>
    <x v="56"/>
    <n v="1"/>
    <m/>
    <n v="1"/>
    <m/>
    <n v="1"/>
    <m/>
    <n v="1"/>
    <m/>
    <m/>
    <n v="1"/>
    <m/>
    <n v="1"/>
    <n v="1"/>
    <n v="1"/>
    <m/>
    <n v="1"/>
    <m/>
  </r>
  <r>
    <x v="24"/>
    <x v="14"/>
    <m/>
    <m/>
    <m/>
    <m/>
    <m/>
    <m/>
    <n v="3"/>
    <n v="3"/>
    <n v="1"/>
    <m/>
    <m/>
    <m/>
    <n v="1"/>
    <m/>
    <n v="1"/>
    <n v="1"/>
    <m/>
  </r>
  <r>
    <x v="24"/>
    <x v="15"/>
    <m/>
    <m/>
    <n v="3"/>
    <n v="3"/>
    <n v="3"/>
    <n v="2"/>
    <n v="5"/>
    <n v="5"/>
    <n v="10"/>
    <m/>
    <n v="2"/>
    <n v="6"/>
    <n v="6"/>
    <n v="2"/>
    <n v="10"/>
    <n v="15"/>
    <m/>
  </r>
  <r>
    <x v="24"/>
    <x v="16"/>
    <n v="1"/>
    <m/>
    <n v="1"/>
    <m/>
    <n v="1"/>
    <m/>
    <m/>
    <m/>
    <m/>
    <m/>
    <m/>
    <m/>
    <m/>
    <m/>
    <m/>
    <m/>
    <m/>
  </r>
  <r>
    <x v="24"/>
    <x v="17"/>
    <n v="1"/>
    <m/>
    <n v="1"/>
    <m/>
    <n v="1"/>
    <m/>
    <m/>
    <m/>
    <m/>
    <m/>
    <m/>
    <m/>
    <m/>
    <m/>
    <n v="1"/>
    <m/>
    <m/>
  </r>
  <r>
    <x v="24"/>
    <x v="18"/>
    <m/>
    <n v="1"/>
    <n v="13"/>
    <n v="3"/>
    <m/>
    <m/>
    <m/>
    <m/>
    <m/>
    <m/>
    <n v="2"/>
    <n v="2"/>
    <m/>
    <m/>
    <m/>
    <m/>
    <m/>
  </r>
  <r>
    <x v="24"/>
    <x v="19"/>
    <m/>
    <m/>
    <m/>
    <m/>
    <m/>
    <m/>
    <m/>
    <m/>
    <m/>
    <m/>
    <m/>
    <m/>
    <m/>
    <m/>
    <m/>
    <m/>
    <m/>
  </r>
  <r>
    <x v="24"/>
    <x v="20"/>
    <n v="1"/>
    <n v="1"/>
    <n v="1"/>
    <n v="1"/>
    <n v="1"/>
    <n v="1"/>
    <n v="1"/>
    <n v="1"/>
    <n v="1"/>
    <m/>
    <m/>
    <n v="2"/>
    <n v="1"/>
    <m/>
    <n v="2"/>
    <n v="1"/>
    <m/>
  </r>
  <r>
    <x v="24"/>
    <x v="21"/>
    <m/>
    <m/>
    <m/>
    <m/>
    <m/>
    <m/>
    <m/>
    <m/>
    <m/>
    <m/>
    <m/>
    <m/>
    <m/>
    <m/>
    <m/>
    <m/>
    <m/>
  </r>
  <r>
    <x v="24"/>
    <x v="22"/>
    <m/>
    <m/>
    <m/>
    <m/>
    <m/>
    <m/>
    <m/>
    <m/>
    <m/>
    <m/>
    <m/>
    <m/>
    <m/>
    <m/>
    <m/>
    <m/>
    <m/>
  </r>
  <r>
    <x v="24"/>
    <x v="57"/>
    <n v="1"/>
    <n v="1"/>
    <n v="1"/>
    <n v="1"/>
    <n v="1"/>
    <n v="1"/>
    <m/>
    <m/>
    <n v="1"/>
    <m/>
    <m/>
    <m/>
    <n v="1"/>
    <m/>
    <n v="1"/>
    <n v="1"/>
    <m/>
  </r>
  <r>
    <x v="24"/>
    <x v="23"/>
    <m/>
    <m/>
    <m/>
    <m/>
    <m/>
    <m/>
    <m/>
    <m/>
    <m/>
    <m/>
    <m/>
    <m/>
    <n v="1"/>
    <m/>
    <m/>
    <n v="1"/>
    <m/>
  </r>
  <r>
    <x v="24"/>
    <x v="24"/>
    <n v="1"/>
    <m/>
    <n v="1"/>
    <m/>
    <n v="1"/>
    <m/>
    <n v="1"/>
    <m/>
    <m/>
    <m/>
    <m/>
    <m/>
    <m/>
    <m/>
    <m/>
    <m/>
    <m/>
  </r>
  <r>
    <x v="24"/>
    <x v="25"/>
    <m/>
    <m/>
    <m/>
    <m/>
    <m/>
    <m/>
    <m/>
    <m/>
    <m/>
    <m/>
    <m/>
    <m/>
    <m/>
    <m/>
    <m/>
    <m/>
    <m/>
  </r>
  <r>
    <x v="24"/>
    <x v="26"/>
    <n v="1"/>
    <m/>
    <n v="1"/>
    <m/>
    <n v="1"/>
    <m/>
    <m/>
    <m/>
    <m/>
    <m/>
    <m/>
    <m/>
    <m/>
    <m/>
    <m/>
    <m/>
    <m/>
  </r>
  <r>
    <x v="24"/>
    <x v="52"/>
    <n v="1"/>
    <m/>
    <n v="1"/>
    <m/>
    <n v="1"/>
    <m/>
    <n v="3"/>
    <n v="3"/>
    <m/>
    <m/>
    <n v="1"/>
    <n v="1"/>
    <n v="1"/>
    <m/>
    <n v="1"/>
    <n v="1"/>
    <m/>
  </r>
  <r>
    <x v="24"/>
    <x v="58"/>
    <m/>
    <m/>
    <m/>
    <m/>
    <m/>
    <m/>
    <m/>
    <m/>
    <n v="1"/>
    <m/>
    <n v="1"/>
    <m/>
    <n v="1"/>
    <n v="1"/>
    <m/>
    <n v="1"/>
    <m/>
  </r>
  <r>
    <x v="24"/>
    <x v="27"/>
    <m/>
    <n v="1"/>
    <m/>
    <n v="1"/>
    <m/>
    <n v="1"/>
    <m/>
    <m/>
    <m/>
    <m/>
    <m/>
    <n v="2"/>
    <m/>
    <m/>
    <m/>
    <m/>
    <m/>
  </r>
  <r>
    <x v="24"/>
    <x v="28"/>
    <m/>
    <n v="2"/>
    <m/>
    <n v="1"/>
    <n v="3"/>
    <n v="2"/>
    <n v="3"/>
    <n v="3"/>
    <n v="2"/>
    <m/>
    <n v="2"/>
    <n v="2"/>
    <m/>
    <n v="1"/>
    <n v="2"/>
    <n v="1"/>
    <m/>
  </r>
  <r>
    <x v="24"/>
    <x v="29"/>
    <m/>
    <m/>
    <m/>
    <m/>
    <m/>
    <m/>
    <n v="3"/>
    <n v="3"/>
    <m/>
    <m/>
    <m/>
    <m/>
    <n v="1"/>
    <m/>
    <n v="1"/>
    <n v="1"/>
    <m/>
  </r>
  <r>
    <x v="24"/>
    <x v="59"/>
    <m/>
    <m/>
    <m/>
    <m/>
    <m/>
    <m/>
    <n v="3"/>
    <n v="1"/>
    <n v="1"/>
    <m/>
    <m/>
    <m/>
    <n v="1"/>
    <m/>
    <n v="1"/>
    <n v="1"/>
    <m/>
  </r>
  <r>
    <x v="24"/>
    <x v="30"/>
    <m/>
    <m/>
    <m/>
    <m/>
    <m/>
    <m/>
    <n v="3"/>
    <n v="3"/>
    <m/>
    <m/>
    <m/>
    <m/>
    <n v="1"/>
    <m/>
    <n v="1"/>
    <n v="1"/>
    <m/>
  </r>
  <r>
    <x v="24"/>
    <x v="31"/>
    <n v="1"/>
    <n v="3"/>
    <n v="1"/>
    <n v="2"/>
    <n v="1"/>
    <n v="2"/>
    <n v="23"/>
    <n v="15"/>
    <m/>
    <n v="1"/>
    <n v="2"/>
    <n v="2"/>
    <n v="11"/>
    <n v="1"/>
    <n v="15"/>
    <n v="12"/>
    <m/>
  </r>
  <r>
    <x v="24"/>
    <x v="32"/>
    <m/>
    <m/>
    <m/>
    <m/>
    <m/>
    <m/>
    <n v="3"/>
    <n v="1"/>
    <n v="2"/>
    <m/>
    <m/>
    <n v="1"/>
    <m/>
    <m/>
    <n v="1"/>
    <m/>
    <m/>
  </r>
  <r>
    <x v="24"/>
    <x v="33"/>
    <n v="1"/>
    <m/>
    <n v="1"/>
    <m/>
    <n v="1"/>
    <m/>
    <m/>
    <n v="1"/>
    <m/>
    <m/>
    <n v="1"/>
    <m/>
    <n v="2"/>
    <m/>
    <n v="1"/>
    <n v="1"/>
    <m/>
  </r>
  <r>
    <x v="24"/>
    <x v="34"/>
    <m/>
    <n v="1"/>
    <m/>
    <n v="1"/>
    <m/>
    <n v="1"/>
    <m/>
    <m/>
    <m/>
    <m/>
    <m/>
    <m/>
    <m/>
    <m/>
    <m/>
    <m/>
    <m/>
  </r>
  <r>
    <x v="24"/>
    <x v="35"/>
    <m/>
    <m/>
    <m/>
    <n v="6"/>
    <n v="5"/>
    <n v="2"/>
    <n v="1"/>
    <n v="3"/>
    <m/>
    <n v="2"/>
    <n v="3"/>
    <n v="2"/>
    <n v="5"/>
    <m/>
    <n v="2"/>
    <m/>
    <m/>
  </r>
  <r>
    <x v="24"/>
    <x v="36"/>
    <n v="1"/>
    <n v="1"/>
    <n v="1"/>
    <n v="1"/>
    <n v="5"/>
    <n v="7"/>
    <n v="6"/>
    <n v="6"/>
    <n v="4"/>
    <m/>
    <m/>
    <m/>
    <n v="1"/>
    <m/>
    <m/>
    <n v="17"/>
    <m/>
  </r>
  <r>
    <x v="24"/>
    <x v="53"/>
    <n v="1"/>
    <n v="2"/>
    <m/>
    <n v="1"/>
    <n v="1"/>
    <n v="3"/>
    <n v="9"/>
    <n v="6"/>
    <n v="8"/>
    <m/>
    <n v="1"/>
    <m/>
    <n v="2"/>
    <n v="1"/>
    <n v="2"/>
    <n v="2"/>
    <m/>
  </r>
  <r>
    <x v="24"/>
    <x v="61"/>
    <m/>
    <m/>
    <m/>
    <m/>
    <m/>
    <m/>
    <m/>
    <m/>
    <m/>
    <m/>
    <m/>
    <m/>
    <n v="1"/>
    <m/>
    <m/>
    <n v="1"/>
    <m/>
  </r>
  <r>
    <x v="24"/>
    <x v="37"/>
    <m/>
    <m/>
    <m/>
    <m/>
    <m/>
    <m/>
    <m/>
    <m/>
    <m/>
    <m/>
    <m/>
    <m/>
    <m/>
    <m/>
    <m/>
    <m/>
    <m/>
  </r>
  <r>
    <x v="24"/>
    <x v="38"/>
    <m/>
    <m/>
    <m/>
    <m/>
    <m/>
    <m/>
    <m/>
    <n v="1"/>
    <n v="1"/>
    <m/>
    <m/>
    <m/>
    <n v="2"/>
    <n v="1"/>
    <n v="2"/>
    <m/>
    <m/>
  </r>
  <r>
    <x v="24"/>
    <x v="39"/>
    <n v="1"/>
    <m/>
    <n v="1"/>
    <m/>
    <n v="1"/>
    <m/>
    <n v="3"/>
    <n v="4"/>
    <m/>
    <m/>
    <n v="2"/>
    <m/>
    <m/>
    <n v="1"/>
    <n v="1"/>
    <n v="1"/>
    <m/>
  </r>
  <r>
    <x v="24"/>
    <x v="40"/>
    <m/>
    <n v="3"/>
    <m/>
    <m/>
    <m/>
    <m/>
    <n v="2"/>
    <n v="2"/>
    <n v="1"/>
    <m/>
    <n v="1"/>
    <n v="1"/>
    <m/>
    <n v="2"/>
    <n v="1"/>
    <n v="1"/>
    <m/>
  </r>
  <r>
    <x v="24"/>
    <x v="41"/>
    <m/>
    <m/>
    <m/>
    <m/>
    <m/>
    <m/>
    <m/>
    <m/>
    <m/>
    <m/>
    <m/>
    <m/>
    <m/>
    <m/>
    <m/>
    <m/>
    <m/>
  </r>
  <r>
    <x v="24"/>
    <x v="42"/>
    <m/>
    <m/>
    <m/>
    <m/>
    <m/>
    <m/>
    <n v="1"/>
    <n v="1"/>
    <n v="1"/>
    <m/>
    <n v="1"/>
    <n v="1"/>
    <m/>
    <m/>
    <n v="1"/>
    <m/>
    <m/>
  </r>
  <r>
    <x v="24"/>
    <x v="43"/>
    <m/>
    <m/>
    <m/>
    <n v="1"/>
    <m/>
    <m/>
    <m/>
    <n v="1"/>
    <m/>
    <m/>
    <m/>
    <m/>
    <m/>
    <m/>
    <m/>
    <m/>
    <m/>
  </r>
  <r>
    <x v="24"/>
    <x v="44"/>
    <m/>
    <m/>
    <m/>
    <m/>
    <m/>
    <m/>
    <m/>
    <m/>
    <m/>
    <m/>
    <m/>
    <m/>
    <m/>
    <m/>
    <m/>
    <m/>
    <m/>
  </r>
  <r>
    <x v="24"/>
    <x v="45"/>
    <m/>
    <n v="2"/>
    <m/>
    <m/>
    <n v="1"/>
    <m/>
    <n v="7"/>
    <n v="3"/>
    <n v="4"/>
    <m/>
    <n v="3"/>
    <n v="2"/>
    <m/>
    <n v="2"/>
    <n v="1"/>
    <n v="1"/>
    <m/>
  </r>
  <r>
    <x v="24"/>
    <x v="46"/>
    <m/>
    <n v="2"/>
    <m/>
    <m/>
    <n v="1"/>
    <m/>
    <n v="4"/>
    <n v="1"/>
    <n v="7"/>
    <m/>
    <n v="1"/>
    <n v="1"/>
    <m/>
    <n v="2"/>
    <n v="1"/>
    <n v="1"/>
    <m/>
  </r>
  <r>
    <x v="24"/>
    <x v="47"/>
    <m/>
    <m/>
    <m/>
    <m/>
    <m/>
    <m/>
    <m/>
    <m/>
    <m/>
    <m/>
    <m/>
    <m/>
    <m/>
    <m/>
    <m/>
    <m/>
    <m/>
  </r>
  <r>
    <x v="24"/>
    <x v="48"/>
    <m/>
    <m/>
    <m/>
    <m/>
    <m/>
    <m/>
    <n v="1"/>
    <m/>
    <m/>
    <m/>
    <m/>
    <m/>
    <m/>
    <m/>
    <m/>
    <m/>
    <m/>
  </r>
  <r>
    <x v="24"/>
    <x v="49"/>
    <n v="1"/>
    <n v="1"/>
    <n v="1"/>
    <n v="1"/>
    <n v="1"/>
    <n v="1"/>
    <n v="3"/>
    <n v="4"/>
    <m/>
    <m/>
    <n v="1"/>
    <m/>
    <m/>
    <m/>
    <n v="1"/>
    <n v="4"/>
    <m/>
  </r>
  <r>
    <x v="24"/>
    <x v="50"/>
    <m/>
    <m/>
    <m/>
    <m/>
    <m/>
    <m/>
    <n v="1"/>
    <n v="1"/>
    <n v="1"/>
    <m/>
    <n v="1"/>
    <n v="1"/>
    <m/>
    <m/>
    <n v="1"/>
    <m/>
    <m/>
  </r>
  <r>
    <x v="24"/>
    <x v="60"/>
    <m/>
    <m/>
    <m/>
    <m/>
    <m/>
    <m/>
    <m/>
    <m/>
    <m/>
    <m/>
    <m/>
    <m/>
    <n v="1"/>
    <m/>
    <n v="1"/>
    <n v="1"/>
    <m/>
  </r>
  <r>
    <x v="24"/>
    <x v="51"/>
    <m/>
    <n v="1"/>
    <m/>
    <m/>
    <m/>
    <m/>
    <n v="2"/>
    <n v="2"/>
    <n v="2"/>
    <m/>
    <n v="1"/>
    <n v="1"/>
    <m/>
    <m/>
    <n v="1"/>
    <m/>
    <m/>
  </r>
  <r>
    <x v="25"/>
    <x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1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2"/>
    <n v="0"/>
    <n v="0"/>
    <n v="0"/>
    <n v="0"/>
    <n v="0"/>
    <n v="0"/>
    <n v="1"/>
    <n v="1"/>
    <n v="0"/>
    <n v="0"/>
    <n v="1"/>
    <n v="0"/>
    <n v="1"/>
    <n v="0"/>
    <n v="1"/>
    <n v="4"/>
    <m/>
  </r>
  <r>
    <x v="25"/>
    <x v="3"/>
    <n v="4"/>
    <n v="6"/>
    <n v="0"/>
    <n v="0"/>
    <n v="0"/>
    <n v="0"/>
    <n v="3"/>
    <n v="2"/>
    <n v="3"/>
    <n v="6"/>
    <n v="13"/>
    <n v="3"/>
    <n v="10"/>
    <n v="6"/>
    <n v="5"/>
    <n v="11"/>
    <m/>
  </r>
  <r>
    <x v="25"/>
    <x v="4"/>
    <n v="0"/>
    <n v="0"/>
    <n v="0"/>
    <n v="0"/>
    <n v="0"/>
    <n v="0"/>
    <n v="2"/>
    <n v="2"/>
    <n v="0"/>
    <n v="0"/>
    <n v="25"/>
    <n v="0"/>
    <n v="0"/>
    <n v="0"/>
    <n v="6"/>
    <n v="4"/>
    <m/>
  </r>
  <r>
    <x v="25"/>
    <x v="5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6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7"/>
    <n v="0"/>
    <n v="0"/>
    <n v="0"/>
    <n v="0"/>
    <n v="0"/>
    <n v="0"/>
    <n v="0"/>
    <n v="0"/>
    <n v="0"/>
    <n v="0"/>
    <n v="0"/>
    <n v="0"/>
    <n v="1"/>
    <n v="0"/>
    <n v="1"/>
    <n v="0"/>
    <m/>
  </r>
  <r>
    <x v="25"/>
    <x v="8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9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10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11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12"/>
    <n v="0"/>
    <n v="0"/>
    <n v="0"/>
    <n v="0"/>
    <n v="0"/>
    <n v="0"/>
    <n v="0"/>
    <n v="0"/>
    <n v="0"/>
    <n v="0"/>
    <n v="0"/>
    <n v="0"/>
    <n v="0"/>
    <n v="0"/>
    <n v="0"/>
    <n v="1"/>
    <m/>
  </r>
  <r>
    <x v="25"/>
    <x v="13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14"/>
    <n v="0"/>
    <n v="0"/>
    <n v="0"/>
    <n v="0"/>
    <n v="0"/>
    <n v="0"/>
    <n v="1"/>
    <n v="1"/>
    <n v="0"/>
    <n v="0"/>
    <n v="2"/>
    <n v="0"/>
    <n v="2"/>
    <n v="0"/>
    <n v="0"/>
    <n v="2"/>
    <m/>
  </r>
  <r>
    <x v="25"/>
    <x v="15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16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17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18"/>
    <n v="0"/>
    <n v="0"/>
    <n v="0"/>
    <n v="0"/>
    <n v="2"/>
    <n v="0"/>
    <n v="25"/>
    <n v="6"/>
    <n v="9"/>
    <n v="0"/>
    <n v="4"/>
    <n v="3"/>
    <n v="1"/>
    <n v="3"/>
    <n v="1"/>
    <n v="12"/>
    <m/>
  </r>
  <r>
    <x v="25"/>
    <x v="19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20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21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22"/>
    <n v="2"/>
    <n v="0"/>
    <n v="2"/>
    <n v="0"/>
    <n v="0"/>
    <n v="0"/>
    <n v="3"/>
    <n v="2"/>
    <n v="0"/>
    <n v="0"/>
    <n v="3"/>
    <n v="0"/>
    <n v="0"/>
    <n v="0"/>
    <n v="2"/>
    <n v="7"/>
    <m/>
  </r>
  <r>
    <x v="25"/>
    <x v="23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24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25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26"/>
    <n v="0"/>
    <n v="0"/>
    <n v="0"/>
    <n v="0"/>
    <n v="0"/>
    <n v="0"/>
    <n v="4"/>
    <n v="2"/>
    <n v="1"/>
    <n v="0"/>
    <n v="4"/>
    <n v="5"/>
    <n v="0"/>
    <n v="2"/>
    <n v="5"/>
    <n v="1"/>
    <m/>
  </r>
  <r>
    <x v="25"/>
    <x v="27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28"/>
    <n v="0"/>
    <n v="0"/>
    <n v="0"/>
    <n v="0"/>
    <n v="0"/>
    <n v="0"/>
    <n v="0"/>
    <n v="0"/>
    <n v="0"/>
    <n v="0"/>
    <n v="2"/>
    <n v="0"/>
    <n v="2"/>
    <n v="0"/>
    <n v="1"/>
    <n v="2"/>
    <m/>
  </r>
  <r>
    <x v="25"/>
    <x v="29"/>
    <n v="0"/>
    <n v="0"/>
    <n v="0"/>
    <n v="0"/>
    <n v="0"/>
    <n v="0"/>
    <n v="0"/>
    <n v="0"/>
    <n v="0"/>
    <n v="0"/>
    <n v="0"/>
    <n v="1"/>
    <n v="3"/>
    <n v="0"/>
    <n v="1"/>
    <n v="3"/>
    <m/>
  </r>
  <r>
    <x v="25"/>
    <x v="30"/>
    <n v="1"/>
    <n v="2"/>
    <n v="0"/>
    <n v="1"/>
    <n v="0"/>
    <n v="0"/>
    <n v="0"/>
    <n v="2"/>
    <n v="2"/>
    <n v="0"/>
    <n v="9"/>
    <n v="1"/>
    <n v="1"/>
    <n v="2"/>
    <n v="1"/>
    <n v="9"/>
    <m/>
  </r>
  <r>
    <x v="25"/>
    <x v="31"/>
    <n v="0"/>
    <n v="2"/>
    <n v="0"/>
    <n v="2"/>
    <n v="0"/>
    <n v="2"/>
    <n v="10"/>
    <n v="12"/>
    <n v="0"/>
    <n v="0"/>
    <n v="17"/>
    <n v="9"/>
    <n v="16"/>
    <n v="10"/>
    <n v="20"/>
    <n v="52"/>
    <m/>
  </r>
  <r>
    <x v="25"/>
    <x v="32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33"/>
    <n v="0"/>
    <n v="0"/>
    <n v="0"/>
    <n v="0"/>
    <n v="0"/>
    <n v="0"/>
    <n v="2"/>
    <n v="0"/>
    <n v="1"/>
    <n v="0"/>
    <n v="1"/>
    <n v="1"/>
    <n v="0"/>
    <n v="1"/>
    <n v="2"/>
    <n v="2"/>
    <m/>
  </r>
  <r>
    <x v="25"/>
    <x v="34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35"/>
    <n v="2"/>
    <n v="5"/>
    <n v="2"/>
    <n v="5"/>
    <n v="2"/>
    <n v="5"/>
    <n v="2"/>
    <n v="5"/>
    <n v="2"/>
    <n v="0"/>
    <n v="4"/>
    <n v="3"/>
    <n v="1"/>
    <n v="2"/>
    <n v="4"/>
    <n v="4"/>
    <m/>
  </r>
  <r>
    <x v="25"/>
    <x v="36"/>
    <n v="0"/>
    <n v="0"/>
    <n v="0"/>
    <n v="0"/>
    <n v="0"/>
    <n v="0"/>
    <n v="0"/>
    <n v="0"/>
    <n v="1"/>
    <n v="0"/>
    <n v="1"/>
    <n v="1"/>
    <n v="1"/>
    <n v="0"/>
    <n v="2"/>
    <n v="0"/>
    <m/>
  </r>
  <r>
    <x v="25"/>
    <x v="37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38"/>
    <n v="0"/>
    <n v="0"/>
    <n v="0"/>
    <n v="0"/>
    <n v="0"/>
    <n v="0"/>
    <n v="1"/>
    <n v="0"/>
    <n v="2"/>
    <n v="0"/>
    <n v="3"/>
    <n v="1"/>
    <n v="3"/>
    <n v="1"/>
    <n v="2"/>
    <n v="3"/>
    <m/>
  </r>
  <r>
    <x v="25"/>
    <x v="39"/>
    <n v="0"/>
    <n v="0"/>
    <n v="0"/>
    <n v="0"/>
    <n v="0"/>
    <n v="0"/>
    <n v="7"/>
    <n v="5"/>
    <n v="2"/>
    <n v="0"/>
    <n v="5"/>
    <n v="7"/>
    <n v="31"/>
    <n v="2"/>
    <n v="7"/>
    <n v="31"/>
    <m/>
  </r>
  <r>
    <x v="25"/>
    <x v="40"/>
    <n v="0"/>
    <n v="0"/>
    <n v="0"/>
    <n v="0"/>
    <n v="0"/>
    <n v="0"/>
    <n v="2"/>
    <n v="1"/>
    <n v="0"/>
    <n v="0"/>
    <n v="1"/>
    <n v="0"/>
    <n v="1"/>
    <n v="0"/>
    <n v="1"/>
    <n v="4"/>
    <m/>
  </r>
  <r>
    <x v="25"/>
    <x v="41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42"/>
    <n v="0"/>
    <n v="0"/>
    <n v="1"/>
    <n v="0"/>
    <n v="0"/>
    <n v="0"/>
    <n v="11"/>
    <n v="10"/>
    <n v="0"/>
    <n v="0"/>
    <n v="2"/>
    <n v="4"/>
    <n v="9"/>
    <n v="10"/>
    <n v="13"/>
    <n v="18"/>
    <m/>
  </r>
  <r>
    <x v="25"/>
    <x v="43"/>
    <n v="0"/>
    <n v="0"/>
    <n v="0"/>
    <n v="0"/>
    <n v="0"/>
    <n v="0"/>
    <n v="2"/>
    <n v="2"/>
    <n v="0"/>
    <n v="0"/>
    <n v="2"/>
    <n v="1"/>
    <n v="1"/>
    <n v="0"/>
    <n v="1"/>
    <n v="3"/>
    <m/>
  </r>
  <r>
    <x v="25"/>
    <x v="44"/>
    <n v="0"/>
    <n v="0"/>
    <n v="0"/>
    <n v="0"/>
    <n v="0"/>
    <n v="0"/>
    <n v="0"/>
    <n v="0"/>
    <n v="0"/>
    <n v="0"/>
    <n v="2"/>
    <n v="0"/>
    <n v="1"/>
    <n v="0"/>
    <n v="1"/>
    <n v="3"/>
    <m/>
  </r>
  <r>
    <x v="25"/>
    <x v="45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46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47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48"/>
    <n v="0"/>
    <n v="0"/>
    <n v="0"/>
    <n v="0"/>
    <n v="0"/>
    <n v="0"/>
    <n v="1"/>
    <n v="0"/>
    <n v="0"/>
    <n v="0"/>
    <n v="0"/>
    <n v="0"/>
    <n v="0"/>
    <n v="1"/>
    <n v="0"/>
    <n v="0"/>
    <m/>
  </r>
  <r>
    <x v="25"/>
    <x v="49"/>
    <n v="0"/>
    <n v="0"/>
    <n v="0"/>
    <n v="0"/>
    <n v="0"/>
    <n v="0"/>
    <n v="0"/>
    <n v="0"/>
    <n v="0"/>
    <n v="0"/>
    <n v="0"/>
    <n v="0"/>
    <n v="0"/>
    <n v="0"/>
    <n v="0"/>
    <n v="1"/>
    <m/>
  </r>
  <r>
    <x v="25"/>
    <x v="50"/>
    <n v="0"/>
    <n v="0"/>
    <n v="0"/>
    <n v="0"/>
    <n v="0"/>
    <n v="0"/>
    <n v="0"/>
    <n v="0"/>
    <n v="0"/>
    <n v="0"/>
    <n v="0"/>
    <n v="0"/>
    <n v="0"/>
    <n v="0"/>
    <n v="0"/>
    <n v="5"/>
    <m/>
  </r>
  <r>
    <x v="25"/>
    <x v="51"/>
    <n v="0"/>
    <n v="1"/>
    <n v="0"/>
    <n v="0"/>
    <n v="1"/>
    <n v="1"/>
    <n v="4"/>
    <n v="3"/>
    <n v="0"/>
    <n v="0"/>
    <n v="4"/>
    <n v="2"/>
    <n v="4"/>
    <n v="2"/>
    <n v="4"/>
    <n v="20"/>
    <m/>
  </r>
  <r>
    <x v="25"/>
    <x v="74"/>
    <n v="0"/>
    <n v="0"/>
    <n v="0"/>
    <n v="0"/>
    <n v="0"/>
    <n v="0"/>
    <n v="2"/>
    <n v="2"/>
    <n v="0"/>
    <n v="0"/>
    <n v="0"/>
    <n v="1"/>
    <n v="1"/>
    <n v="2"/>
    <n v="2"/>
    <n v="1"/>
    <m/>
  </r>
  <r>
    <x v="26"/>
    <x v="0"/>
    <m/>
    <m/>
    <m/>
    <m/>
    <m/>
    <m/>
    <m/>
    <m/>
    <m/>
    <m/>
    <m/>
    <m/>
    <m/>
    <m/>
    <m/>
    <m/>
    <m/>
  </r>
  <r>
    <x v="26"/>
    <x v="1"/>
    <m/>
    <m/>
    <m/>
    <m/>
    <m/>
    <m/>
    <m/>
    <m/>
    <m/>
    <m/>
    <m/>
    <m/>
    <m/>
    <m/>
    <m/>
    <m/>
    <m/>
  </r>
  <r>
    <x v="26"/>
    <x v="2"/>
    <m/>
    <m/>
    <m/>
    <m/>
    <m/>
    <m/>
    <m/>
    <m/>
    <m/>
    <m/>
    <m/>
    <m/>
    <m/>
    <m/>
    <m/>
    <m/>
    <m/>
  </r>
  <r>
    <x v="26"/>
    <x v="3"/>
    <m/>
    <m/>
    <m/>
    <m/>
    <m/>
    <m/>
    <m/>
    <m/>
    <m/>
    <m/>
    <m/>
    <m/>
    <m/>
    <m/>
    <m/>
    <m/>
    <m/>
  </r>
  <r>
    <x v="26"/>
    <x v="4"/>
    <m/>
    <m/>
    <m/>
    <m/>
    <m/>
    <m/>
    <m/>
    <m/>
    <m/>
    <m/>
    <m/>
    <m/>
    <m/>
    <m/>
    <m/>
    <m/>
    <m/>
  </r>
  <r>
    <x v="26"/>
    <x v="5"/>
    <m/>
    <m/>
    <m/>
    <m/>
    <m/>
    <m/>
    <m/>
    <m/>
    <m/>
    <m/>
    <m/>
    <m/>
    <m/>
    <m/>
    <m/>
    <m/>
    <m/>
  </r>
  <r>
    <x v="26"/>
    <x v="6"/>
    <m/>
    <m/>
    <m/>
    <m/>
    <m/>
    <m/>
    <m/>
    <m/>
    <m/>
    <m/>
    <m/>
    <m/>
    <m/>
    <m/>
    <m/>
    <m/>
    <m/>
  </r>
  <r>
    <x v="26"/>
    <x v="7"/>
    <m/>
    <m/>
    <m/>
    <m/>
    <m/>
    <m/>
    <m/>
    <m/>
    <m/>
    <m/>
    <m/>
    <m/>
    <m/>
    <m/>
    <m/>
    <m/>
    <m/>
  </r>
  <r>
    <x v="26"/>
    <x v="8"/>
    <m/>
    <m/>
    <m/>
    <m/>
    <m/>
    <m/>
    <m/>
    <m/>
    <m/>
    <m/>
    <m/>
    <m/>
    <m/>
    <m/>
    <m/>
    <m/>
    <m/>
  </r>
  <r>
    <x v="26"/>
    <x v="9"/>
    <m/>
    <m/>
    <m/>
    <m/>
    <m/>
    <m/>
    <m/>
    <m/>
    <m/>
    <m/>
    <m/>
    <m/>
    <m/>
    <m/>
    <m/>
    <m/>
    <m/>
  </r>
  <r>
    <x v="26"/>
    <x v="10"/>
    <m/>
    <m/>
    <m/>
    <m/>
    <m/>
    <m/>
    <m/>
    <m/>
    <m/>
    <m/>
    <m/>
    <m/>
    <m/>
    <m/>
    <m/>
    <m/>
    <m/>
  </r>
  <r>
    <x v="26"/>
    <x v="11"/>
    <m/>
    <m/>
    <m/>
    <m/>
    <m/>
    <m/>
    <m/>
    <m/>
    <m/>
    <m/>
    <m/>
    <m/>
    <m/>
    <m/>
    <m/>
    <m/>
    <m/>
  </r>
  <r>
    <x v="26"/>
    <x v="12"/>
    <m/>
    <m/>
    <m/>
    <m/>
    <m/>
    <m/>
    <m/>
    <m/>
    <m/>
    <m/>
    <m/>
    <m/>
    <m/>
    <m/>
    <m/>
    <m/>
    <m/>
  </r>
  <r>
    <x v="26"/>
    <x v="13"/>
    <m/>
    <m/>
    <m/>
    <m/>
    <m/>
    <m/>
    <m/>
    <m/>
    <m/>
    <m/>
    <m/>
    <m/>
    <m/>
    <m/>
    <m/>
    <m/>
    <m/>
  </r>
  <r>
    <x v="26"/>
    <x v="14"/>
    <m/>
    <m/>
    <m/>
    <m/>
    <m/>
    <m/>
    <m/>
    <m/>
    <m/>
    <m/>
    <m/>
    <m/>
    <m/>
    <m/>
    <m/>
    <m/>
    <m/>
  </r>
  <r>
    <x v="26"/>
    <x v="15"/>
    <m/>
    <m/>
    <m/>
    <m/>
    <m/>
    <m/>
    <m/>
    <m/>
    <m/>
    <m/>
    <m/>
    <m/>
    <m/>
    <m/>
    <m/>
    <m/>
    <m/>
  </r>
  <r>
    <x v="26"/>
    <x v="16"/>
    <m/>
    <m/>
    <m/>
    <m/>
    <m/>
    <m/>
    <m/>
    <m/>
    <m/>
    <m/>
    <m/>
    <m/>
    <m/>
    <m/>
    <m/>
    <m/>
    <m/>
  </r>
  <r>
    <x v="26"/>
    <x v="17"/>
    <m/>
    <m/>
    <m/>
    <m/>
    <m/>
    <m/>
    <m/>
    <m/>
    <m/>
    <m/>
    <m/>
    <m/>
    <m/>
    <m/>
    <m/>
    <m/>
    <m/>
  </r>
  <r>
    <x v="26"/>
    <x v="18"/>
    <m/>
    <m/>
    <m/>
    <m/>
    <m/>
    <m/>
    <m/>
    <m/>
    <m/>
    <m/>
    <m/>
    <m/>
    <m/>
    <m/>
    <m/>
    <m/>
    <m/>
  </r>
  <r>
    <x v="26"/>
    <x v="19"/>
    <m/>
    <m/>
    <m/>
    <m/>
    <m/>
    <m/>
    <m/>
    <m/>
    <m/>
    <m/>
    <m/>
    <m/>
    <m/>
    <m/>
    <m/>
    <m/>
    <m/>
  </r>
  <r>
    <x v="26"/>
    <x v="20"/>
    <m/>
    <m/>
    <m/>
    <m/>
    <m/>
    <m/>
    <m/>
    <m/>
    <m/>
    <m/>
    <m/>
    <m/>
    <m/>
    <m/>
    <m/>
    <m/>
    <m/>
  </r>
  <r>
    <x v="26"/>
    <x v="21"/>
    <m/>
    <m/>
    <m/>
    <m/>
    <m/>
    <m/>
    <m/>
    <m/>
    <m/>
    <m/>
    <m/>
    <m/>
    <m/>
    <m/>
    <m/>
    <m/>
    <m/>
  </r>
  <r>
    <x v="26"/>
    <x v="22"/>
    <m/>
    <m/>
    <m/>
    <m/>
    <m/>
    <m/>
    <m/>
    <m/>
    <m/>
    <m/>
    <m/>
    <m/>
    <m/>
    <m/>
    <m/>
    <m/>
    <m/>
  </r>
  <r>
    <x v="26"/>
    <x v="23"/>
    <m/>
    <m/>
    <m/>
    <m/>
    <m/>
    <m/>
    <m/>
    <m/>
    <m/>
    <m/>
    <m/>
    <m/>
    <m/>
    <m/>
    <m/>
    <m/>
    <m/>
  </r>
  <r>
    <x v="26"/>
    <x v="24"/>
    <m/>
    <m/>
    <m/>
    <m/>
    <m/>
    <m/>
    <m/>
    <m/>
    <m/>
    <m/>
    <m/>
    <m/>
    <m/>
    <m/>
    <m/>
    <m/>
    <m/>
  </r>
  <r>
    <x v="26"/>
    <x v="25"/>
    <m/>
    <m/>
    <m/>
    <m/>
    <m/>
    <m/>
    <m/>
    <m/>
    <m/>
    <m/>
    <m/>
    <m/>
    <m/>
    <m/>
    <m/>
    <m/>
    <m/>
  </r>
  <r>
    <x v="26"/>
    <x v="26"/>
    <m/>
    <m/>
    <m/>
    <m/>
    <m/>
    <m/>
    <m/>
    <m/>
    <m/>
    <m/>
    <m/>
    <m/>
    <m/>
    <m/>
    <m/>
    <m/>
    <m/>
  </r>
  <r>
    <x v="26"/>
    <x v="27"/>
    <m/>
    <m/>
    <m/>
    <m/>
    <m/>
    <m/>
    <m/>
    <m/>
    <m/>
    <m/>
    <m/>
    <m/>
    <m/>
    <m/>
    <m/>
    <m/>
    <m/>
  </r>
  <r>
    <x v="26"/>
    <x v="28"/>
    <m/>
    <m/>
    <m/>
    <m/>
    <m/>
    <m/>
    <m/>
    <m/>
    <m/>
    <m/>
    <m/>
    <m/>
    <m/>
    <m/>
    <m/>
    <m/>
    <m/>
  </r>
  <r>
    <x v="26"/>
    <x v="29"/>
    <m/>
    <m/>
    <m/>
    <m/>
    <m/>
    <m/>
    <m/>
    <m/>
    <m/>
    <m/>
    <m/>
    <m/>
    <m/>
    <m/>
    <m/>
    <m/>
    <m/>
  </r>
  <r>
    <x v="26"/>
    <x v="30"/>
    <m/>
    <m/>
    <m/>
    <m/>
    <m/>
    <m/>
    <m/>
    <m/>
    <m/>
    <m/>
    <m/>
    <m/>
    <m/>
    <m/>
    <m/>
    <m/>
    <m/>
  </r>
  <r>
    <x v="26"/>
    <x v="31"/>
    <m/>
    <m/>
    <m/>
    <m/>
    <m/>
    <m/>
    <m/>
    <n v="1"/>
    <n v="1"/>
    <m/>
    <m/>
    <n v="1"/>
    <m/>
    <m/>
    <n v="1"/>
    <n v="4"/>
    <m/>
  </r>
  <r>
    <x v="26"/>
    <x v="32"/>
    <m/>
    <m/>
    <m/>
    <m/>
    <m/>
    <m/>
    <m/>
    <m/>
    <m/>
    <m/>
    <m/>
    <m/>
    <m/>
    <m/>
    <m/>
    <m/>
    <m/>
  </r>
  <r>
    <x v="26"/>
    <x v="33"/>
    <m/>
    <m/>
    <m/>
    <m/>
    <m/>
    <m/>
    <m/>
    <m/>
    <m/>
    <m/>
    <m/>
    <m/>
    <m/>
    <m/>
    <m/>
    <m/>
    <m/>
  </r>
  <r>
    <x v="26"/>
    <x v="34"/>
    <m/>
    <m/>
    <m/>
    <m/>
    <m/>
    <m/>
    <m/>
    <m/>
    <m/>
    <m/>
    <m/>
    <m/>
    <m/>
    <m/>
    <m/>
    <m/>
    <m/>
  </r>
  <r>
    <x v="26"/>
    <x v="35"/>
    <m/>
    <m/>
    <m/>
    <m/>
    <m/>
    <m/>
    <m/>
    <m/>
    <m/>
    <m/>
    <m/>
    <m/>
    <m/>
    <m/>
    <m/>
    <m/>
    <m/>
  </r>
  <r>
    <x v="26"/>
    <x v="36"/>
    <m/>
    <m/>
    <m/>
    <m/>
    <m/>
    <m/>
    <m/>
    <m/>
    <m/>
    <m/>
    <m/>
    <m/>
    <m/>
    <m/>
    <m/>
    <m/>
    <m/>
  </r>
  <r>
    <x v="26"/>
    <x v="37"/>
    <m/>
    <m/>
    <m/>
    <m/>
    <m/>
    <m/>
    <m/>
    <m/>
    <m/>
    <m/>
    <m/>
    <m/>
    <m/>
    <m/>
    <m/>
    <m/>
    <m/>
  </r>
  <r>
    <x v="26"/>
    <x v="38"/>
    <m/>
    <m/>
    <m/>
    <m/>
    <m/>
    <m/>
    <m/>
    <m/>
    <m/>
    <m/>
    <m/>
    <m/>
    <m/>
    <m/>
    <m/>
    <m/>
    <m/>
  </r>
  <r>
    <x v="26"/>
    <x v="39"/>
    <m/>
    <m/>
    <m/>
    <m/>
    <m/>
    <m/>
    <m/>
    <m/>
    <m/>
    <m/>
    <m/>
    <m/>
    <m/>
    <m/>
    <m/>
    <m/>
    <m/>
  </r>
  <r>
    <x v="26"/>
    <x v="40"/>
    <m/>
    <m/>
    <m/>
    <m/>
    <m/>
    <m/>
    <m/>
    <m/>
    <m/>
    <m/>
    <m/>
    <m/>
    <m/>
    <m/>
    <m/>
    <m/>
    <m/>
  </r>
  <r>
    <x v="26"/>
    <x v="41"/>
    <m/>
    <m/>
    <m/>
    <m/>
    <m/>
    <m/>
    <m/>
    <m/>
    <m/>
    <m/>
    <m/>
    <m/>
    <m/>
    <m/>
    <m/>
    <m/>
    <m/>
  </r>
  <r>
    <x v="26"/>
    <x v="42"/>
    <m/>
    <m/>
    <m/>
    <m/>
    <m/>
    <m/>
    <n v="3"/>
    <n v="2"/>
    <n v="2"/>
    <m/>
    <n v="2"/>
    <m/>
    <n v="1"/>
    <n v="2"/>
    <n v="2"/>
    <n v="7"/>
    <m/>
  </r>
  <r>
    <x v="26"/>
    <x v="43"/>
    <m/>
    <m/>
    <m/>
    <m/>
    <m/>
    <m/>
    <m/>
    <m/>
    <m/>
    <m/>
    <m/>
    <m/>
    <m/>
    <m/>
    <m/>
    <m/>
    <m/>
  </r>
  <r>
    <x v="26"/>
    <x v="44"/>
    <m/>
    <m/>
    <m/>
    <m/>
    <m/>
    <m/>
    <m/>
    <m/>
    <m/>
    <m/>
    <m/>
    <m/>
    <m/>
    <m/>
    <m/>
    <m/>
    <m/>
  </r>
  <r>
    <x v="26"/>
    <x v="45"/>
    <m/>
    <m/>
    <m/>
    <m/>
    <m/>
    <m/>
    <m/>
    <m/>
    <m/>
    <m/>
    <m/>
    <m/>
    <m/>
    <m/>
    <m/>
    <m/>
    <m/>
  </r>
  <r>
    <x v="26"/>
    <x v="46"/>
    <m/>
    <m/>
    <m/>
    <m/>
    <m/>
    <m/>
    <m/>
    <m/>
    <m/>
    <m/>
    <m/>
    <m/>
    <m/>
    <m/>
    <m/>
    <m/>
    <m/>
  </r>
  <r>
    <x v="26"/>
    <x v="47"/>
    <m/>
    <m/>
    <m/>
    <m/>
    <m/>
    <m/>
    <m/>
    <m/>
    <m/>
    <m/>
    <m/>
    <m/>
    <m/>
    <m/>
    <m/>
    <m/>
    <m/>
  </r>
  <r>
    <x v="26"/>
    <x v="48"/>
    <m/>
    <m/>
    <m/>
    <m/>
    <m/>
    <m/>
    <m/>
    <m/>
    <m/>
    <m/>
    <m/>
    <m/>
    <m/>
    <m/>
    <m/>
    <m/>
    <m/>
  </r>
  <r>
    <x v="26"/>
    <x v="49"/>
    <m/>
    <m/>
    <m/>
    <m/>
    <m/>
    <m/>
    <n v="3"/>
    <m/>
    <m/>
    <m/>
    <n v="3"/>
    <n v="1"/>
    <n v="2"/>
    <m/>
    <n v="3"/>
    <n v="2"/>
    <m/>
  </r>
  <r>
    <x v="26"/>
    <x v="50"/>
    <m/>
    <m/>
    <m/>
    <m/>
    <m/>
    <m/>
    <m/>
    <m/>
    <m/>
    <m/>
    <m/>
    <m/>
    <m/>
    <m/>
    <m/>
    <m/>
    <m/>
  </r>
  <r>
    <x v="26"/>
    <x v="51"/>
    <m/>
    <m/>
    <m/>
    <m/>
    <m/>
    <m/>
    <m/>
    <m/>
    <m/>
    <m/>
    <m/>
    <m/>
    <m/>
    <m/>
    <m/>
    <m/>
    <m/>
  </r>
  <r>
    <x v="27"/>
    <x v="0"/>
    <m/>
    <m/>
    <m/>
    <m/>
    <m/>
    <m/>
    <m/>
    <m/>
    <m/>
    <m/>
    <m/>
    <m/>
    <m/>
    <m/>
    <m/>
    <m/>
    <m/>
  </r>
  <r>
    <x v="27"/>
    <x v="1"/>
    <m/>
    <m/>
    <m/>
    <m/>
    <m/>
    <m/>
    <m/>
    <m/>
    <m/>
    <m/>
    <m/>
    <m/>
    <m/>
    <m/>
    <m/>
    <m/>
    <m/>
  </r>
  <r>
    <x v="27"/>
    <x v="2"/>
    <m/>
    <m/>
    <m/>
    <m/>
    <m/>
    <m/>
    <m/>
    <m/>
    <m/>
    <m/>
    <m/>
    <m/>
    <m/>
    <m/>
    <m/>
    <m/>
    <m/>
  </r>
  <r>
    <x v="27"/>
    <x v="3"/>
    <m/>
    <m/>
    <m/>
    <m/>
    <m/>
    <m/>
    <m/>
    <m/>
    <m/>
    <m/>
    <m/>
    <m/>
    <m/>
    <m/>
    <m/>
    <m/>
    <m/>
  </r>
  <r>
    <x v="27"/>
    <x v="4"/>
    <m/>
    <m/>
    <m/>
    <m/>
    <m/>
    <m/>
    <m/>
    <m/>
    <m/>
    <m/>
    <m/>
    <m/>
    <m/>
    <m/>
    <m/>
    <m/>
    <m/>
  </r>
  <r>
    <x v="27"/>
    <x v="5"/>
    <m/>
    <m/>
    <m/>
    <m/>
    <m/>
    <m/>
    <m/>
    <m/>
    <m/>
    <m/>
    <m/>
    <m/>
    <m/>
    <m/>
    <m/>
    <m/>
    <m/>
  </r>
  <r>
    <x v="27"/>
    <x v="6"/>
    <m/>
    <m/>
    <m/>
    <m/>
    <m/>
    <m/>
    <n v="1"/>
    <m/>
    <m/>
    <m/>
    <m/>
    <m/>
    <m/>
    <m/>
    <m/>
    <m/>
    <m/>
  </r>
  <r>
    <x v="27"/>
    <x v="7"/>
    <m/>
    <m/>
    <m/>
    <m/>
    <m/>
    <m/>
    <m/>
    <m/>
    <m/>
    <m/>
    <m/>
    <m/>
    <m/>
    <m/>
    <m/>
    <m/>
    <m/>
  </r>
  <r>
    <x v="27"/>
    <x v="8"/>
    <m/>
    <m/>
    <m/>
    <m/>
    <m/>
    <m/>
    <m/>
    <m/>
    <m/>
    <m/>
    <m/>
    <m/>
    <m/>
    <m/>
    <m/>
    <m/>
    <m/>
  </r>
  <r>
    <x v="27"/>
    <x v="9"/>
    <m/>
    <m/>
    <m/>
    <m/>
    <m/>
    <m/>
    <m/>
    <m/>
    <m/>
    <m/>
    <m/>
    <m/>
    <m/>
    <m/>
    <m/>
    <m/>
    <m/>
  </r>
  <r>
    <x v="27"/>
    <x v="10"/>
    <m/>
    <m/>
    <m/>
    <m/>
    <m/>
    <m/>
    <m/>
    <m/>
    <m/>
    <m/>
    <m/>
    <m/>
    <m/>
    <m/>
    <m/>
    <m/>
    <m/>
  </r>
  <r>
    <x v="27"/>
    <x v="11"/>
    <m/>
    <m/>
    <m/>
    <m/>
    <m/>
    <m/>
    <m/>
    <m/>
    <m/>
    <m/>
    <m/>
    <m/>
    <m/>
    <m/>
    <m/>
    <m/>
    <m/>
  </r>
  <r>
    <x v="27"/>
    <x v="12"/>
    <m/>
    <m/>
    <m/>
    <m/>
    <m/>
    <m/>
    <m/>
    <m/>
    <m/>
    <m/>
    <m/>
    <m/>
    <m/>
    <m/>
    <m/>
    <m/>
    <m/>
  </r>
  <r>
    <x v="27"/>
    <x v="13"/>
    <m/>
    <m/>
    <m/>
    <m/>
    <m/>
    <m/>
    <m/>
    <m/>
    <m/>
    <m/>
    <m/>
    <m/>
    <m/>
    <m/>
    <m/>
    <m/>
    <m/>
  </r>
  <r>
    <x v="27"/>
    <x v="14"/>
    <m/>
    <m/>
    <m/>
    <m/>
    <m/>
    <m/>
    <m/>
    <m/>
    <m/>
    <m/>
    <m/>
    <m/>
    <m/>
    <m/>
    <m/>
    <m/>
    <m/>
  </r>
  <r>
    <x v="27"/>
    <x v="15"/>
    <m/>
    <m/>
    <m/>
    <m/>
    <m/>
    <m/>
    <m/>
    <m/>
    <m/>
    <m/>
    <m/>
    <m/>
    <m/>
    <m/>
    <m/>
    <m/>
    <m/>
  </r>
  <r>
    <x v="27"/>
    <x v="16"/>
    <m/>
    <m/>
    <m/>
    <m/>
    <m/>
    <m/>
    <m/>
    <m/>
    <m/>
    <m/>
    <m/>
    <m/>
    <m/>
    <m/>
    <m/>
    <m/>
    <m/>
  </r>
  <r>
    <x v="27"/>
    <x v="17"/>
    <m/>
    <m/>
    <m/>
    <m/>
    <m/>
    <m/>
    <m/>
    <m/>
    <m/>
    <m/>
    <m/>
    <m/>
    <m/>
    <m/>
    <m/>
    <m/>
    <m/>
  </r>
  <r>
    <x v="27"/>
    <x v="18"/>
    <m/>
    <m/>
    <m/>
    <m/>
    <m/>
    <m/>
    <m/>
    <m/>
    <m/>
    <m/>
    <m/>
    <m/>
    <m/>
    <m/>
    <m/>
    <m/>
    <m/>
  </r>
  <r>
    <x v="27"/>
    <x v="19"/>
    <m/>
    <m/>
    <m/>
    <m/>
    <m/>
    <m/>
    <m/>
    <m/>
    <m/>
    <m/>
    <m/>
    <m/>
    <m/>
    <m/>
    <m/>
    <m/>
    <m/>
  </r>
  <r>
    <x v="27"/>
    <x v="20"/>
    <m/>
    <m/>
    <m/>
    <m/>
    <m/>
    <m/>
    <m/>
    <m/>
    <m/>
    <m/>
    <m/>
    <m/>
    <m/>
    <m/>
    <m/>
    <m/>
    <m/>
  </r>
  <r>
    <x v="27"/>
    <x v="21"/>
    <m/>
    <m/>
    <m/>
    <m/>
    <m/>
    <m/>
    <m/>
    <m/>
    <m/>
    <m/>
    <m/>
    <m/>
    <m/>
    <m/>
    <m/>
    <m/>
    <m/>
  </r>
  <r>
    <x v="27"/>
    <x v="22"/>
    <m/>
    <m/>
    <m/>
    <m/>
    <m/>
    <m/>
    <m/>
    <m/>
    <m/>
    <m/>
    <m/>
    <m/>
    <m/>
    <m/>
    <m/>
    <m/>
    <m/>
  </r>
  <r>
    <x v="27"/>
    <x v="23"/>
    <m/>
    <m/>
    <m/>
    <m/>
    <m/>
    <m/>
    <m/>
    <m/>
    <m/>
    <m/>
    <m/>
    <m/>
    <m/>
    <m/>
    <m/>
    <m/>
    <m/>
  </r>
  <r>
    <x v="27"/>
    <x v="24"/>
    <m/>
    <m/>
    <m/>
    <m/>
    <m/>
    <m/>
    <m/>
    <m/>
    <m/>
    <m/>
    <m/>
    <m/>
    <m/>
    <m/>
    <m/>
    <m/>
    <m/>
  </r>
  <r>
    <x v="27"/>
    <x v="25"/>
    <m/>
    <m/>
    <m/>
    <m/>
    <m/>
    <m/>
    <m/>
    <m/>
    <m/>
    <m/>
    <m/>
    <m/>
    <m/>
    <m/>
    <m/>
    <m/>
    <m/>
  </r>
  <r>
    <x v="27"/>
    <x v="26"/>
    <m/>
    <m/>
    <m/>
    <m/>
    <m/>
    <m/>
    <m/>
    <m/>
    <m/>
    <m/>
    <m/>
    <m/>
    <m/>
    <m/>
    <m/>
    <m/>
    <m/>
  </r>
  <r>
    <x v="27"/>
    <x v="27"/>
    <m/>
    <m/>
    <m/>
    <m/>
    <m/>
    <m/>
    <m/>
    <m/>
    <m/>
    <m/>
    <m/>
    <m/>
    <m/>
    <m/>
    <m/>
    <m/>
    <m/>
  </r>
  <r>
    <x v="27"/>
    <x v="28"/>
    <m/>
    <m/>
    <m/>
    <m/>
    <m/>
    <m/>
    <m/>
    <m/>
    <m/>
    <m/>
    <m/>
    <m/>
    <m/>
    <m/>
    <m/>
    <m/>
    <m/>
  </r>
  <r>
    <x v="27"/>
    <x v="29"/>
    <m/>
    <m/>
    <m/>
    <m/>
    <m/>
    <m/>
    <m/>
    <m/>
    <m/>
    <m/>
    <m/>
    <m/>
    <m/>
    <m/>
    <m/>
    <m/>
    <m/>
  </r>
  <r>
    <x v="27"/>
    <x v="30"/>
    <m/>
    <m/>
    <m/>
    <m/>
    <m/>
    <m/>
    <m/>
    <m/>
    <m/>
    <m/>
    <m/>
    <m/>
    <m/>
    <m/>
    <m/>
    <m/>
    <m/>
  </r>
  <r>
    <x v="27"/>
    <x v="31"/>
    <m/>
    <m/>
    <m/>
    <m/>
    <m/>
    <m/>
    <m/>
    <m/>
    <m/>
    <m/>
    <m/>
    <m/>
    <m/>
    <m/>
    <m/>
    <m/>
    <m/>
  </r>
  <r>
    <x v="27"/>
    <x v="32"/>
    <m/>
    <m/>
    <m/>
    <m/>
    <m/>
    <m/>
    <n v="1"/>
    <m/>
    <n v="1"/>
    <m/>
    <m/>
    <m/>
    <m/>
    <m/>
    <m/>
    <m/>
    <m/>
  </r>
  <r>
    <x v="27"/>
    <x v="33"/>
    <m/>
    <m/>
    <m/>
    <m/>
    <m/>
    <m/>
    <m/>
    <m/>
    <m/>
    <m/>
    <m/>
    <m/>
    <m/>
    <m/>
    <m/>
    <m/>
    <m/>
  </r>
  <r>
    <x v="27"/>
    <x v="34"/>
    <m/>
    <m/>
    <m/>
    <m/>
    <m/>
    <m/>
    <m/>
    <m/>
    <m/>
    <m/>
    <m/>
    <m/>
    <m/>
    <m/>
    <m/>
    <m/>
    <m/>
  </r>
  <r>
    <x v="27"/>
    <x v="35"/>
    <m/>
    <m/>
    <m/>
    <m/>
    <m/>
    <m/>
    <m/>
    <m/>
    <m/>
    <m/>
    <m/>
    <m/>
    <m/>
    <m/>
    <m/>
    <m/>
    <m/>
  </r>
  <r>
    <x v="27"/>
    <x v="36"/>
    <m/>
    <m/>
    <m/>
    <m/>
    <m/>
    <m/>
    <m/>
    <m/>
    <m/>
    <m/>
    <m/>
    <m/>
    <m/>
    <m/>
    <m/>
    <m/>
    <m/>
  </r>
  <r>
    <x v="27"/>
    <x v="37"/>
    <m/>
    <m/>
    <m/>
    <m/>
    <m/>
    <m/>
    <m/>
    <m/>
    <m/>
    <m/>
    <m/>
    <m/>
    <m/>
    <m/>
    <m/>
    <m/>
    <m/>
  </r>
  <r>
    <x v="27"/>
    <x v="38"/>
    <m/>
    <m/>
    <m/>
    <m/>
    <m/>
    <m/>
    <m/>
    <m/>
    <m/>
    <m/>
    <m/>
    <m/>
    <m/>
    <m/>
    <m/>
    <m/>
    <m/>
  </r>
  <r>
    <x v="27"/>
    <x v="39"/>
    <m/>
    <m/>
    <m/>
    <m/>
    <m/>
    <m/>
    <m/>
    <m/>
    <m/>
    <m/>
    <m/>
    <m/>
    <m/>
    <m/>
    <m/>
    <m/>
    <m/>
  </r>
  <r>
    <x v="27"/>
    <x v="40"/>
    <m/>
    <m/>
    <m/>
    <m/>
    <m/>
    <m/>
    <m/>
    <m/>
    <m/>
    <m/>
    <m/>
    <m/>
    <m/>
    <m/>
    <m/>
    <m/>
    <m/>
  </r>
  <r>
    <x v="27"/>
    <x v="41"/>
    <m/>
    <m/>
    <m/>
    <m/>
    <m/>
    <m/>
    <m/>
    <m/>
    <m/>
    <m/>
    <m/>
    <m/>
    <m/>
    <m/>
    <m/>
    <m/>
    <m/>
  </r>
  <r>
    <x v="27"/>
    <x v="42"/>
    <m/>
    <m/>
    <m/>
    <m/>
    <m/>
    <m/>
    <m/>
    <m/>
    <m/>
    <m/>
    <m/>
    <m/>
    <m/>
    <m/>
    <m/>
    <m/>
    <m/>
  </r>
  <r>
    <x v="27"/>
    <x v="43"/>
    <m/>
    <m/>
    <m/>
    <n v="1"/>
    <m/>
    <m/>
    <m/>
    <n v="1"/>
    <m/>
    <m/>
    <m/>
    <m/>
    <m/>
    <m/>
    <m/>
    <m/>
    <m/>
  </r>
  <r>
    <x v="27"/>
    <x v="44"/>
    <m/>
    <m/>
    <m/>
    <m/>
    <m/>
    <m/>
    <m/>
    <m/>
    <m/>
    <m/>
    <m/>
    <m/>
    <m/>
    <m/>
    <m/>
    <m/>
    <m/>
  </r>
  <r>
    <x v="27"/>
    <x v="45"/>
    <m/>
    <m/>
    <m/>
    <m/>
    <m/>
    <m/>
    <m/>
    <m/>
    <m/>
    <m/>
    <m/>
    <m/>
    <m/>
    <m/>
    <m/>
    <m/>
    <m/>
  </r>
  <r>
    <x v="27"/>
    <x v="46"/>
    <m/>
    <m/>
    <m/>
    <m/>
    <m/>
    <m/>
    <m/>
    <m/>
    <m/>
    <m/>
    <m/>
    <m/>
    <m/>
    <m/>
    <m/>
    <m/>
    <m/>
  </r>
  <r>
    <x v="27"/>
    <x v="47"/>
    <m/>
    <m/>
    <m/>
    <m/>
    <m/>
    <m/>
    <m/>
    <m/>
    <m/>
    <m/>
    <m/>
    <m/>
    <m/>
    <m/>
    <m/>
    <m/>
    <m/>
  </r>
  <r>
    <x v="27"/>
    <x v="48"/>
    <m/>
    <m/>
    <m/>
    <m/>
    <m/>
    <m/>
    <m/>
    <m/>
    <m/>
    <m/>
    <m/>
    <m/>
    <m/>
    <m/>
    <m/>
    <m/>
    <m/>
  </r>
  <r>
    <x v="27"/>
    <x v="49"/>
    <m/>
    <m/>
    <m/>
    <m/>
    <m/>
    <m/>
    <m/>
    <m/>
    <m/>
    <m/>
    <m/>
    <m/>
    <m/>
    <m/>
    <m/>
    <m/>
    <m/>
  </r>
  <r>
    <x v="27"/>
    <x v="50"/>
    <m/>
    <m/>
    <m/>
    <m/>
    <m/>
    <m/>
    <m/>
    <m/>
    <m/>
    <m/>
    <m/>
    <m/>
    <m/>
    <m/>
    <m/>
    <m/>
    <m/>
  </r>
  <r>
    <x v="27"/>
    <x v="51"/>
    <m/>
    <n v="1"/>
    <m/>
    <m/>
    <m/>
    <m/>
    <n v="1"/>
    <n v="1"/>
    <n v="1"/>
    <m/>
    <m/>
    <m/>
    <m/>
    <m/>
    <m/>
    <m/>
    <m/>
  </r>
  <r>
    <x v="28"/>
    <x v="40"/>
    <m/>
    <m/>
    <m/>
    <m/>
    <m/>
    <m/>
    <m/>
    <m/>
    <m/>
    <m/>
    <n v="2"/>
    <m/>
    <m/>
    <n v="2"/>
    <n v="1"/>
    <m/>
    <m/>
  </r>
  <r>
    <x v="29"/>
    <x v="0"/>
    <m/>
    <m/>
    <m/>
    <m/>
    <m/>
    <m/>
    <m/>
    <m/>
    <m/>
    <m/>
    <m/>
    <m/>
    <m/>
    <m/>
    <m/>
    <m/>
    <m/>
  </r>
  <r>
    <x v="29"/>
    <x v="1"/>
    <m/>
    <m/>
    <m/>
    <m/>
    <m/>
    <m/>
    <m/>
    <m/>
    <m/>
    <m/>
    <m/>
    <m/>
    <m/>
    <m/>
    <m/>
    <m/>
    <m/>
  </r>
  <r>
    <x v="29"/>
    <x v="2"/>
    <m/>
    <m/>
    <m/>
    <m/>
    <m/>
    <m/>
    <m/>
    <m/>
    <m/>
    <m/>
    <m/>
    <m/>
    <m/>
    <m/>
    <m/>
    <m/>
    <m/>
  </r>
  <r>
    <x v="29"/>
    <x v="3"/>
    <m/>
    <m/>
    <m/>
    <m/>
    <m/>
    <m/>
    <m/>
    <m/>
    <m/>
    <m/>
    <m/>
    <m/>
    <m/>
    <m/>
    <m/>
    <m/>
    <m/>
  </r>
  <r>
    <x v="29"/>
    <x v="4"/>
    <m/>
    <m/>
    <m/>
    <m/>
    <m/>
    <m/>
    <m/>
    <m/>
    <m/>
    <m/>
    <m/>
    <m/>
    <m/>
    <m/>
    <m/>
    <m/>
    <m/>
  </r>
  <r>
    <x v="29"/>
    <x v="5"/>
    <m/>
    <m/>
    <m/>
    <m/>
    <m/>
    <m/>
    <m/>
    <m/>
    <m/>
    <m/>
    <m/>
    <m/>
    <m/>
    <m/>
    <m/>
    <m/>
    <m/>
  </r>
  <r>
    <x v="29"/>
    <x v="6"/>
    <m/>
    <m/>
    <m/>
    <m/>
    <m/>
    <m/>
    <m/>
    <m/>
    <m/>
    <m/>
    <m/>
    <m/>
    <m/>
    <m/>
    <m/>
    <m/>
    <m/>
  </r>
  <r>
    <x v="29"/>
    <x v="7"/>
    <m/>
    <m/>
    <m/>
    <m/>
    <m/>
    <m/>
    <m/>
    <m/>
    <m/>
    <m/>
    <m/>
    <m/>
    <m/>
    <m/>
    <m/>
    <m/>
    <m/>
  </r>
  <r>
    <x v="29"/>
    <x v="8"/>
    <m/>
    <m/>
    <m/>
    <m/>
    <m/>
    <m/>
    <m/>
    <m/>
    <m/>
    <m/>
    <m/>
    <m/>
    <m/>
    <m/>
    <m/>
    <m/>
    <m/>
  </r>
  <r>
    <x v="29"/>
    <x v="9"/>
    <m/>
    <m/>
    <m/>
    <m/>
    <m/>
    <m/>
    <m/>
    <m/>
    <m/>
    <m/>
    <m/>
    <m/>
    <m/>
    <m/>
    <m/>
    <m/>
    <m/>
  </r>
  <r>
    <x v="29"/>
    <x v="10"/>
    <m/>
    <m/>
    <m/>
    <m/>
    <m/>
    <m/>
    <m/>
    <m/>
    <m/>
    <m/>
    <m/>
    <m/>
    <m/>
    <m/>
    <m/>
    <m/>
    <m/>
  </r>
  <r>
    <x v="29"/>
    <x v="11"/>
    <m/>
    <m/>
    <m/>
    <m/>
    <m/>
    <m/>
    <m/>
    <m/>
    <m/>
    <m/>
    <m/>
    <m/>
    <m/>
    <m/>
    <m/>
    <m/>
    <m/>
  </r>
  <r>
    <x v="29"/>
    <x v="12"/>
    <m/>
    <m/>
    <m/>
    <m/>
    <m/>
    <m/>
    <m/>
    <m/>
    <m/>
    <m/>
    <m/>
    <m/>
    <m/>
    <m/>
    <m/>
    <m/>
    <m/>
  </r>
  <r>
    <x v="29"/>
    <x v="13"/>
    <m/>
    <m/>
    <m/>
    <m/>
    <m/>
    <m/>
    <m/>
    <m/>
    <m/>
    <m/>
    <m/>
    <m/>
    <m/>
    <m/>
    <m/>
    <m/>
    <m/>
  </r>
  <r>
    <x v="29"/>
    <x v="14"/>
    <m/>
    <m/>
    <m/>
    <m/>
    <m/>
    <m/>
    <m/>
    <m/>
    <m/>
    <m/>
    <m/>
    <m/>
    <m/>
    <m/>
    <m/>
    <m/>
    <m/>
  </r>
  <r>
    <x v="29"/>
    <x v="15"/>
    <m/>
    <m/>
    <m/>
    <m/>
    <m/>
    <m/>
    <m/>
    <m/>
    <m/>
    <m/>
    <m/>
    <m/>
    <m/>
    <m/>
    <m/>
    <m/>
    <m/>
  </r>
  <r>
    <x v="29"/>
    <x v="16"/>
    <m/>
    <m/>
    <m/>
    <m/>
    <m/>
    <m/>
    <m/>
    <m/>
    <m/>
    <m/>
    <m/>
    <m/>
    <m/>
    <m/>
    <m/>
    <m/>
    <m/>
  </r>
  <r>
    <x v="29"/>
    <x v="17"/>
    <m/>
    <m/>
    <m/>
    <m/>
    <m/>
    <m/>
    <m/>
    <m/>
    <m/>
    <m/>
    <m/>
    <m/>
    <m/>
    <m/>
    <m/>
    <m/>
    <m/>
  </r>
  <r>
    <x v="29"/>
    <x v="18"/>
    <m/>
    <m/>
    <m/>
    <m/>
    <m/>
    <m/>
    <m/>
    <m/>
    <m/>
    <m/>
    <m/>
    <m/>
    <m/>
    <m/>
    <m/>
    <m/>
    <m/>
  </r>
  <r>
    <x v="29"/>
    <x v="19"/>
    <m/>
    <m/>
    <m/>
    <m/>
    <m/>
    <m/>
    <m/>
    <m/>
    <m/>
    <m/>
    <m/>
    <m/>
    <m/>
    <m/>
    <m/>
    <m/>
    <m/>
  </r>
  <r>
    <x v="29"/>
    <x v="20"/>
    <m/>
    <m/>
    <m/>
    <m/>
    <m/>
    <m/>
    <m/>
    <m/>
    <m/>
    <m/>
    <m/>
    <m/>
    <m/>
    <m/>
    <m/>
    <m/>
    <m/>
  </r>
  <r>
    <x v="29"/>
    <x v="21"/>
    <m/>
    <m/>
    <m/>
    <m/>
    <m/>
    <m/>
    <m/>
    <m/>
    <m/>
    <m/>
    <m/>
    <m/>
    <m/>
    <m/>
    <m/>
    <m/>
    <m/>
  </r>
  <r>
    <x v="29"/>
    <x v="22"/>
    <m/>
    <m/>
    <m/>
    <m/>
    <m/>
    <m/>
    <m/>
    <m/>
    <m/>
    <m/>
    <m/>
    <m/>
    <m/>
    <m/>
    <m/>
    <m/>
    <m/>
  </r>
  <r>
    <x v="29"/>
    <x v="23"/>
    <m/>
    <m/>
    <m/>
    <m/>
    <m/>
    <m/>
    <m/>
    <m/>
    <m/>
    <m/>
    <m/>
    <m/>
    <m/>
    <m/>
    <m/>
    <m/>
    <m/>
  </r>
  <r>
    <x v="29"/>
    <x v="24"/>
    <m/>
    <m/>
    <m/>
    <m/>
    <m/>
    <m/>
    <m/>
    <m/>
    <m/>
    <m/>
    <m/>
    <m/>
    <m/>
    <m/>
    <m/>
    <m/>
    <m/>
  </r>
  <r>
    <x v="29"/>
    <x v="25"/>
    <m/>
    <m/>
    <m/>
    <m/>
    <m/>
    <m/>
    <m/>
    <m/>
    <m/>
    <m/>
    <m/>
    <m/>
    <m/>
    <m/>
    <m/>
    <m/>
    <m/>
  </r>
  <r>
    <x v="29"/>
    <x v="26"/>
    <m/>
    <m/>
    <m/>
    <m/>
    <m/>
    <m/>
    <m/>
    <m/>
    <m/>
    <m/>
    <m/>
    <m/>
    <m/>
    <m/>
    <m/>
    <m/>
    <m/>
  </r>
  <r>
    <x v="29"/>
    <x v="27"/>
    <m/>
    <m/>
    <m/>
    <m/>
    <m/>
    <m/>
    <m/>
    <m/>
    <m/>
    <m/>
    <m/>
    <m/>
    <m/>
    <m/>
    <m/>
    <m/>
    <m/>
  </r>
  <r>
    <x v="29"/>
    <x v="28"/>
    <m/>
    <m/>
    <m/>
    <m/>
    <m/>
    <m/>
    <m/>
    <m/>
    <m/>
    <m/>
    <m/>
    <m/>
    <m/>
    <m/>
    <m/>
    <m/>
    <m/>
  </r>
  <r>
    <x v="29"/>
    <x v="29"/>
    <m/>
    <m/>
    <m/>
    <m/>
    <m/>
    <m/>
    <m/>
    <m/>
    <m/>
    <m/>
    <m/>
    <m/>
    <m/>
    <m/>
    <m/>
    <m/>
    <m/>
  </r>
  <r>
    <x v="29"/>
    <x v="30"/>
    <m/>
    <m/>
    <m/>
    <m/>
    <m/>
    <m/>
    <m/>
    <m/>
    <m/>
    <m/>
    <m/>
    <m/>
    <m/>
    <m/>
    <m/>
    <m/>
    <m/>
  </r>
  <r>
    <x v="29"/>
    <x v="31"/>
    <m/>
    <m/>
    <m/>
    <m/>
    <m/>
    <m/>
    <m/>
    <m/>
    <m/>
    <m/>
    <m/>
    <m/>
    <m/>
    <m/>
    <m/>
    <m/>
    <m/>
  </r>
  <r>
    <x v="29"/>
    <x v="32"/>
    <m/>
    <m/>
    <m/>
    <m/>
    <m/>
    <m/>
    <m/>
    <m/>
    <m/>
    <m/>
    <m/>
    <m/>
    <m/>
    <m/>
    <m/>
    <m/>
    <m/>
  </r>
  <r>
    <x v="29"/>
    <x v="33"/>
    <m/>
    <m/>
    <m/>
    <m/>
    <m/>
    <m/>
    <m/>
    <m/>
    <m/>
    <m/>
    <m/>
    <m/>
    <m/>
    <m/>
    <m/>
    <m/>
    <m/>
  </r>
  <r>
    <x v="29"/>
    <x v="34"/>
    <m/>
    <m/>
    <m/>
    <m/>
    <m/>
    <m/>
    <m/>
    <m/>
    <m/>
    <m/>
    <m/>
    <m/>
    <m/>
    <m/>
    <m/>
    <m/>
    <m/>
  </r>
  <r>
    <x v="29"/>
    <x v="35"/>
    <m/>
    <m/>
    <m/>
    <m/>
    <m/>
    <m/>
    <m/>
    <m/>
    <m/>
    <m/>
    <m/>
    <m/>
    <m/>
    <m/>
    <m/>
    <m/>
    <m/>
  </r>
  <r>
    <x v="29"/>
    <x v="36"/>
    <m/>
    <m/>
    <m/>
    <m/>
    <m/>
    <m/>
    <m/>
    <m/>
    <m/>
    <m/>
    <m/>
    <m/>
    <m/>
    <m/>
    <m/>
    <m/>
    <m/>
  </r>
  <r>
    <x v="29"/>
    <x v="37"/>
    <m/>
    <m/>
    <m/>
    <m/>
    <m/>
    <m/>
    <m/>
    <m/>
    <m/>
    <m/>
    <m/>
    <m/>
    <m/>
    <m/>
    <m/>
    <m/>
    <m/>
  </r>
  <r>
    <x v="29"/>
    <x v="38"/>
    <m/>
    <m/>
    <m/>
    <m/>
    <m/>
    <m/>
    <m/>
    <m/>
    <m/>
    <m/>
    <m/>
    <m/>
    <m/>
    <m/>
    <m/>
    <m/>
    <m/>
  </r>
  <r>
    <x v="29"/>
    <x v="39"/>
    <m/>
    <m/>
    <m/>
    <m/>
    <m/>
    <m/>
    <m/>
    <m/>
    <m/>
    <m/>
    <m/>
    <m/>
    <m/>
    <m/>
    <m/>
    <m/>
    <m/>
  </r>
  <r>
    <x v="29"/>
    <x v="40"/>
    <m/>
    <m/>
    <m/>
    <m/>
    <m/>
    <m/>
    <m/>
    <m/>
    <m/>
    <m/>
    <m/>
    <m/>
    <m/>
    <m/>
    <m/>
    <m/>
    <m/>
  </r>
  <r>
    <x v="29"/>
    <x v="41"/>
    <m/>
    <m/>
    <m/>
    <m/>
    <m/>
    <m/>
    <m/>
    <m/>
    <m/>
    <m/>
    <m/>
    <m/>
    <m/>
    <m/>
    <m/>
    <m/>
    <m/>
  </r>
  <r>
    <x v="29"/>
    <x v="42"/>
    <m/>
    <m/>
    <m/>
    <m/>
    <m/>
    <m/>
    <n v="1"/>
    <m/>
    <m/>
    <m/>
    <n v="1"/>
    <m/>
    <m/>
    <n v="2"/>
    <n v="1"/>
    <n v="5"/>
    <m/>
  </r>
  <r>
    <x v="29"/>
    <x v="43"/>
    <m/>
    <m/>
    <m/>
    <m/>
    <m/>
    <m/>
    <m/>
    <m/>
    <m/>
    <m/>
    <m/>
    <m/>
    <m/>
    <m/>
    <m/>
    <m/>
    <m/>
  </r>
  <r>
    <x v="29"/>
    <x v="44"/>
    <m/>
    <m/>
    <m/>
    <m/>
    <m/>
    <m/>
    <m/>
    <m/>
    <m/>
    <m/>
    <m/>
    <m/>
    <m/>
    <m/>
    <m/>
    <m/>
    <m/>
  </r>
  <r>
    <x v="29"/>
    <x v="45"/>
    <m/>
    <m/>
    <m/>
    <m/>
    <m/>
    <m/>
    <m/>
    <m/>
    <m/>
    <m/>
    <m/>
    <m/>
    <m/>
    <m/>
    <m/>
    <m/>
    <m/>
  </r>
  <r>
    <x v="29"/>
    <x v="46"/>
    <m/>
    <m/>
    <m/>
    <m/>
    <m/>
    <m/>
    <m/>
    <m/>
    <m/>
    <m/>
    <m/>
    <m/>
    <m/>
    <m/>
    <m/>
    <m/>
    <m/>
  </r>
  <r>
    <x v="29"/>
    <x v="47"/>
    <m/>
    <m/>
    <m/>
    <m/>
    <m/>
    <m/>
    <m/>
    <m/>
    <m/>
    <m/>
    <m/>
    <m/>
    <m/>
    <m/>
    <m/>
    <m/>
    <m/>
  </r>
  <r>
    <x v="29"/>
    <x v="48"/>
    <m/>
    <m/>
    <m/>
    <m/>
    <m/>
    <m/>
    <m/>
    <m/>
    <m/>
    <m/>
    <m/>
    <m/>
    <m/>
    <m/>
    <m/>
    <m/>
    <m/>
  </r>
  <r>
    <x v="29"/>
    <x v="49"/>
    <m/>
    <m/>
    <m/>
    <m/>
    <m/>
    <m/>
    <m/>
    <m/>
    <m/>
    <m/>
    <m/>
    <m/>
    <m/>
    <m/>
    <m/>
    <m/>
    <m/>
  </r>
  <r>
    <x v="29"/>
    <x v="50"/>
    <m/>
    <m/>
    <m/>
    <m/>
    <m/>
    <m/>
    <m/>
    <m/>
    <m/>
    <m/>
    <m/>
    <m/>
    <m/>
    <m/>
    <m/>
    <m/>
    <m/>
  </r>
  <r>
    <x v="29"/>
    <x v="51"/>
    <m/>
    <m/>
    <m/>
    <m/>
    <m/>
    <m/>
    <m/>
    <m/>
    <m/>
    <m/>
    <m/>
    <m/>
    <m/>
    <m/>
    <m/>
    <m/>
    <m/>
  </r>
  <r>
    <x v="30"/>
    <x v="0"/>
    <m/>
    <m/>
    <m/>
    <m/>
    <m/>
    <m/>
    <m/>
    <m/>
    <m/>
    <m/>
    <m/>
    <m/>
    <m/>
    <m/>
    <m/>
    <m/>
    <m/>
  </r>
  <r>
    <x v="30"/>
    <x v="1"/>
    <m/>
    <m/>
    <m/>
    <m/>
    <m/>
    <m/>
    <m/>
    <m/>
    <m/>
    <m/>
    <m/>
    <m/>
    <m/>
    <m/>
    <m/>
    <m/>
    <m/>
  </r>
  <r>
    <x v="30"/>
    <x v="2"/>
    <m/>
    <m/>
    <m/>
    <m/>
    <m/>
    <m/>
    <m/>
    <m/>
    <m/>
    <m/>
    <m/>
    <m/>
    <m/>
    <m/>
    <m/>
    <m/>
    <m/>
  </r>
  <r>
    <x v="30"/>
    <x v="3"/>
    <m/>
    <m/>
    <m/>
    <m/>
    <m/>
    <m/>
    <m/>
    <m/>
    <m/>
    <m/>
    <m/>
    <m/>
    <m/>
    <m/>
    <m/>
    <m/>
    <m/>
  </r>
  <r>
    <x v="30"/>
    <x v="4"/>
    <m/>
    <m/>
    <m/>
    <m/>
    <m/>
    <m/>
    <m/>
    <m/>
    <m/>
    <m/>
    <m/>
    <m/>
    <m/>
    <m/>
    <m/>
    <m/>
    <m/>
  </r>
  <r>
    <x v="30"/>
    <x v="5"/>
    <m/>
    <m/>
    <m/>
    <m/>
    <m/>
    <m/>
    <m/>
    <m/>
    <m/>
    <m/>
    <m/>
    <m/>
    <m/>
    <m/>
    <m/>
    <m/>
    <m/>
  </r>
  <r>
    <x v="30"/>
    <x v="6"/>
    <m/>
    <m/>
    <m/>
    <m/>
    <m/>
    <m/>
    <m/>
    <m/>
    <m/>
    <m/>
    <m/>
    <m/>
    <m/>
    <m/>
    <m/>
    <m/>
    <m/>
  </r>
  <r>
    <x v="30"/>
    <x v="7"/>
    <m/>
    <m/>
    <m/>
    <m/>
    <m/>
    <m/>
    <m/>
    <m/>
    <m/>
    <m/>
    <m/>
    <m/>
    <m/>
    <m/>
    <m/>
    <m/>
    <m/>
  </r>
  <r>
    <x v="30"/>
    <x v="8"/>
    <m/>
    <m/>
    <m/>
    <m/>
    <m/>
    <m/>
    <m/>
    <m/>
    <m/>
    <m/>
    <m/>
    <m/>
    <m/>
    <m/>
    <m/>
    <m/>
    <m/>
  </r>
  <r>
    <x v="30"/>
    <x v="9"/>
    <m/>
    <m/>
    <m/>
    <m/>
    <m/>
    <m/>
    <m/>
    <m/>
    <m/>
    <m/>
    <m/>
    <m/>
    <m/>
    <m/>
    <m/>
    <m/>
    <m/>
  </r>
  <r>
    <x v="30"/>
    <x v="10"/>
    <m/>
    <m/>
    <m/>
    <m/>
    <m/>
    <m/>
    <m/>
    <m/>
    <m/>
    <m/>
    <m/>
    <m/>
    <m/>
    <m/>
    <m/>
    <m/>
    <m/>
  </r>
  <r>
    <x v="30"/>
    <x v="11"/>
    <m/>
    <m/>
    <m/>
    <m/>
    <m/>
    <m/>
    <m/>
    <m/>
    <m/>
    <m/>
    <m/>
    <m/>
    <m/>
    <m/>
    <m/>
    <m/>
    <m/>
  </r>
  <r>
    <x v="30"/>
    <x v="12"/>
    <m/>
    <m/>
    <m/>
    <m/>
    <m/>
    <m/>
    <m/>
    <m/>
    <m/>
    <m/>
    <m/>
    <m/>
    <m/>
    <m/>
    <m/>
    <m/>
    <m/>
  </r>
  <r>
    <x v="30"/>
    <x v="13"/>
    <m/>
    <m/>
    <m/>
    <m/>
    <m/>
    <m/>
    <m/>
    <m/>
    <m/>
    <m/>
    <m/>
    <m/>
    <m/>
    <m/>
    <m/>
    <m/>
    <m/>
  </r>
  <r>
    <x v="30"/>
    <x v="14"/>
    <m/>
    <m/>
    <m/>
    <m/>
    <m/>
    <m/>
    <m/>
    <m/>
    <m/>
    <m/>
    <m/>
    <m/>
    <m/>
    <m/>
    <m/>
    <m/>
    <m/>
  </r>
  <r>
    <x v="30"/>
    <x v="15"/>
    <m/>
    <m/>
    <m/>
    <m/>
    <m/>
    <m/>
    <m/>
    <m/>
    <m/>
    <m/>
    <m/>
    <m/>
    <m/>
    <m/>
    <m/>
    <m/>
    <m/>
  </r>
  <r>
    <x v="30"/>
    <x v="16"/>
    <m/>
    <m/>
    <m/>
    <m/>
    <m/>
    <m/>
    <m/>
    <m/>
    <m/>
    <m/>
    <m/>
    <m/>
    <m/>
    <m/>
    <m/>
    <m/>
    <m/>
  </r>
  <r>
    <x v="30"/>
    <x v="17"/>
    <m/>
    <m/>
    <m/>
    <m/>
    <m/>
    <m/>
    <m/>
    <m/>
    <m/>
    <m/>
    <m/>
    <m/>
    <m/>
    <m/>
    <m/>
    <m/>
    <m/>
  </r>
  <r>
    <x v="30"/>
    <x v="18"/>
    <m/>
    <m/>
    <m/>
    <m/>
    <m/>
    <m/>
    <m/>
    <m/>
    <m/>
    <m/>
    <m/>
    <m/>
    <m/>
    <m/>
    <m/>
    <m/>
    <m/>
  </r>
  <r>
    <x v="30"/>
    <x v="19"/>
    <m/>
    <m/>
    <m/>
    <m/>
    <m/>
    <m/>
    <m/>
    <m/>
    <m/>
    <m/>
    <m/>
    <m/>
    <m/>
    <m/>
    <m/>
    <m/>
    <m/>
  </r>
  <r>
    <x v="30"/>
    <x v="20"/>
    <m/>
    <m/>
    <m/>
    <m/>
    <m/>
    <m/>
    <m/>
    <m/>
    <m/>
    <m/>
    <m/>
    <m/>
    <m/>
    <m/>
    <m/>
    <m/>
    <m/>
  </r>
  <r>
    <x v="30"/>
    <x v="21"/>
    <m/>
    <m/>
    <m/>
    <m/>
    <m/>
    <m/>
    <m/>
    <m/>
    <m/>
    <m/>
    <m/>
    <m/>
    <m/>
    <m/>
    <m/>
    <m/>
    <m/>
  </r>
  <r>
    <x v="30"/>
    <x v="22"/>
    <m/>
    <m/>
    <m/>
    <m/>
    <m/>
    <m/>
    <m/>
    <m/>
    <m/>
    <m/>
    <m/>
    <m/>
    <m/>
    <m/>
    <m/>
    <m/>
    <m/>
  </r>
  <r>
    <x v="30"/>
    <x v="23"/>
    <m/>
    <m/>
    <m/>
    <m/>
    <m/>
    <m/>
    <m/>
    <m/>
    <m/>
    <m/>
    <m/>
    <m/>
    <m/>
    <m/>
    <m/>
    <m/>
    <m/>
  </r>
  <r>
    <x v="30"/>
    <x v="24"/>
    <m/>
    <m/>
    <m/>
    <m/>
    <m/>
    <m/>
    <m/>
    <m/>
    <m/>
    <m/>
    <m/>
    <m/>
    <m/>
    <m/>
    <m/>
    <m/>
    <m/>
  </r>
  <r>
    <x v="30"/>
    <x v="25"/>
    <m/>
    <m/>
    <m/>
    <m/>
    <m/>
    <m/>
    <m/>
    <m/>
    <m/>
    <m/>
    <m/>
    <m/>
    <m/>
    <m/>
    <m/>
    <m/>
    <m/>
  </r>
  <r>
    <x v="30"/>
    <x v="26"/>
    <m/>
    <m/>
    <m/>
    <m/>
    <m/>
    <m/>
    <m/>
    <m/>
    <m/>
    <m/>
    <m/>
    <m/>
    <m/>
    <m/>
    <m/>
    <m/>
    <m/>
  </r>
  <r>
    <x v="30"/>
    <x v="27"/>
    <m/>
    <m/>
    <m/>
    <m/>
    <m/>
    <m/>
    <m/>
    <m/>
    <m/>
    <m/>
    <m/>
    <m/>
    <m/>
    <m/>
    <m/>
    <m/>
    <m/>
  </r>
  <r>
    <x v="30"/>
    <x v="28"/>
    <m/>
    <m/>
    <m/>
    <m/>
    <m/>
    <m/>
    <m/>
    <m/>
    <m/>
    <m/>
    <m/>
    <m/>
    <m/>
    <m/>
    <m/>
    <m/>
    <m/>
  </r>
  <r>
    <x v="30"/>
    <x v="29"/>
    <m/>
    <m/>
    <m/>
    <m/>
    <m/>
    <m/>
    <m/>
    <m/>
    <m/>
    <m/>
    <m/>
    <m/>
    <m/>
    <m/>
    <m/>
    <m/>
    <m/>
  </r>
  <r>
    <x v="30"/>
    <x v="30"/>
    <m/>
    <m/>
    <m/>
    <m/>
    <m/>
    <m/>
    <m/>
    <m/>
    <m/>
    <m/>
    <m/>
    <m/>
    <m/>
    <m/>
    <m/>
    <m/>
    <m/>
  </r>
  <r>
    <x v="30"/>
    <x v="31"/>
    <m/>
    <m/>
    <m/>
    <m/>
    <m/>
    <m/>
    <m/>
    <m/>
    <m/>
    <m/>
    <m/>
    <m/>
    <m/>
    <m/>
    <m/>
    <m/>
    <m/>
  </r>
  <r>
    <x v="30"/>
    <x v="32"/>
    <m/>
    <m/>
    <m/>
    <m/>
    <m/>
    <m/>
    <m/>
    <m/>
    <m/>
    <m/>
    <m/>
    <m/>
    <m/>
    <m/>
    <m/>
    <m/>
    <m/>
  </r>
  <r>
    <x v="30"/>
    <x v="33"/>
    <m/>
    <m/>
    <m/>
    <m/>
    <m/>
    <m/>
    <m/>
    <m/>
    <m/>
    <m/>
    <m/>
    <m/>
    <m/>
    <m/>
    <m/>
    <m/>
    <m/>
  </r>
  <r>
    <x v="30"/>
    <x v="34"/>
    <m/>
    <m/>
    <m/>
    <m/>
    <m/>
    <m/>
    <m/>
    <m/>
    <m/>
    <m/>
    <m/>
    <m/>
    <m/>
    <m/>
    <m/>
    <m/>
    <m/>
  </r>
  <r>
    <x v="30"/>
    <x v="35"/>
    <m/>
    <m/>
    <m/>
    <m/>
    <m/>
    <m/>
    <m/>
    <m/>
    <m/>
    <m/>
    <m/>
    <m/>
    <m/>
    <m/>
    <m/>
    <m/>
    <m/>
  </r>
  <r>
    <x v="30"/>
    <x v="36"/>
    <m/>
    <m/>
    <m/>
    <m/>
    <m/>
    <m/>
    <n v="1"/>
    <m/>
    <m/>
    <m/>
    <n v="1"/>
    <n v="1"/>
    <n v="1"/>
    <n v="1"/>
    <n v="1"/>
    <n v="1"/>
    <m/>
  </r>
  <r>
    <x v="30"/>
    <x v="37"/>
    <m/>
    <m/>
    <m/>
    <m/>
    <m/>
    <m/>
    <m/>
    <m/>
    <m/>
    <m/>
    <m/>
    <m/>
    <m/>
    <m/>
    <m/>
    <m/>
    <m/>
  </r>
  <r>
    <x v="30"/>
    <x v="38"/>
    <m/>
    <m/>
    <m/>
    <m/>
    <m/>
    <m/>
    <m/>
    <m/>
    <m/>
    <m/>
    <m/>
    <m/>
    <m/>
    <m/>
    <m/>
    <m/>
    <m/>
  </r>
  <r>
    <x v="30"/>
    <x v="39"/>
    <m/>
    <m/>
    <m/>
    <m/>
    <m/>
    <m/>
    <m/>
    <m/>
    <m/>
    <m/>
    <m/>
    <m/>
    <m/>
    <m/>
    <m/>
    <m/>
    <m/>
  </r>
  <r>
    <x v="30"/>
    <x v="40"/>
    <m/>
    <m/>
    <m/>
    <m/>
    <m/>
    <m/>
    <m/>
    <m/>
    <m/>
    <m/>
    <m/>
    <m/>
    <m/>
    <m/>
    <m/>
    <m/>
    <m/>
  </r>
  <r>
    <x v="30"/>
    <x v="41"/>
    <m/>
    <m/>
    <m/>
    <m/>
    <m/>
    <m/>
    <m/>
    <m/>
    <m/>
    <m/>
    <m/>
    <m/>
    <m/>
    <m/>
    <m/>
    <m/>
    <m/>
  </r>
  <r>
    <x v="30"/>
    <x v="42"/>
    <m/>
    <m/>
    <m/>
    <m/>
    <m/>
    <m/>
    <m/>
    <m/>
    <m/>
    <m/>
    <m/>
    <m/>
    <m/>
    <m/>
    <m/>
    <m/>
    <m/>
  </r>
  <r>
    <x v="30"/>
    <x v="43"/>
    <m/>
    <m/>
    <m/>
    <m/>
    <m/>
    <m/>
    <m/>
    <m/>
    <m/>
    <m/>
    <m/>
    <m/>
    <m/>
    <m/>
    <m/>
    <m/>
    <m/>
  </r>
  <r>
    <x v="30"/>
    <x v="44"/>
    <m/>
    <m/>
    <m/>
    <m/>
    <m/>
    <m/>
    <m/>
    <m/>
    <m/>
    <m/>
    <m/>
    <m/>
    <m/>
    <m/>
    <m/>
    <m/>
    <m/>
  </r>
  <r>
    <x v="30"/>
    <x v="45"/>
    <m/>
    <m/>
    <m/>
    <m/>
    <m/>
    <m/>
    <m/>
    <m/>
    <m/>
    <m/>
    <m/>
    <m/>
    <m/>
    <m/>
    <m/>
    <m/>
    <m/>
  </r>
  <r>
    <x v="30"/>
    <x v="46"/>
    <m/>
    <m/>
    <m/>
    <m/>
    <m/>
    <m/>
    <m/>
    <m/>
    <m/>
    <m/>
    <m/>
    <m/>
    <m/>
    <m/>
    <m/>
    <m/>
    <m/>
  </r>
  <r>
    <x v="30"/>
    <x v="47"/>
    <m/>
    <m/>
    <m/>
    <m/>
    <m/>
    <m/>
    <m/>
    <m/>
    <m/>
    <m/>
    <m/>
    <m/>
    <m/>
    <m/>
    <m/>
    <m/>
    <m/>
  </r>
  <r>
    <x v="30"/>
    <x v="48"/>
    <m/>
    <m/>
    <m/>
    <m/>
    <m/>
    <m/>
    <m/>
    <m/>
    <m/>
    <m/>
    <m/>
    <m/>
    <m/>
    <m/>
    <m/>
    <m/>
    <m/>
  </r>
  <r>
    <x v="30"/>
    <x v="49"/>
    <m/>
    <m/>
    <m/>
    <m/>
    <m/>
    <m/>
    <m/>
    <m/>
    <m/>
    <m/>
    <m/>
    <m/>
    <m/>
    <m/>
    <m/>
    <m/>
    <m/>
  </r>
  <r>
    <x v="30"/>
    <x v="50"/>
    <m/>
    <m/>
    <m/>
    <m/>
    <m/>
    <m/>
    <m/>
    <m/>
    <m/>
    <m/>
    <m/>
    <m/>
    <m/>
    <m/>
    <m/>
    <m/>
    <m/>
  </r>
  <r>
    <x v="30"/>
    <x v="51"/>
    <m/>
    <m/>
    <m/>
    <m/>
    <m/>
    <m/>
    <m/>
    <m/>
    <m/>
    <m/>
    <m/>
    <m/>
    <m/>
    <m/>
    <m/>
    <m/>
    <m/>
  </r>
  <r>
    <x v="31"/>
    <x v="0"/>
    <m/>
    <m/>
    <m/>
    <m/>
    <m/>
    <m/>
    <m/>
    <m/>
    <m/>
    <m/>
    <m/>
    <m/>
    <m/>
    <m/>
    <m/>
    <m/>
    <m/>
  </r>
  <r>
    <x v="31"/>
    <x v="1"/>
    <m/>
    <m/>
    <m/>
    <m/>
    <m/>
    <m/>
    <m/>
    <m/>
    <m/>
    <m/>
    <m/>
    <m/>
    <m/>
    <m/>
    <m/>
    <m/>
    <m/>
  </r>
  <r>
    <x v="31"/>
    <x v="2"/>
    <m/>
    <m/>
    <m/>
    <m/>
    <m/>
    <m/>
    <m/>
    <m/>
    <m/>
    <m/>
    <m/>
    <m/>
    <m/>
    <m/>
    <m/>
    <m/>
    <m/>
  </r>
  <r>
    <x v="31"/>
    <x v="3"/>
    <m/>
    <m/>
    <m/>
    <m/>
    <m/>
    <m/>
    <m/>
    <m/>
    <m/>
    <m/>
    <m/>
    <m/>
    <m/>
    <m/>
    <m/>
    <m/>
    <m/>
  </r>
  <r>
    <x v="31"/>
    <x v="4"/>
    <m/>
    <m/>
    <m/>
    <m/>
    <m/>
    <m/>
    <m/>
    <m/>
    <m/>
    <m/>
    <m/>
    <m/>
    <m/>
    <m/>
    <m/>
    <m/>
    <m/>
  </r>
  <r>
    <x v="31"/>
    <x v="5"/>
    <m/>
    <m/>
    <m/>
    <m/>
    <m/>
    <m/>
    <n v="2"/>
    <n v="4"/>
    <n v="2"/>
    <m/>
    <n v="4"/>
    <n v="2"/>
    <n v="2"/>
    <m/>
    <n v="1"/>
    <m/>
    <m/>
  </r>
  <r>
    <x v="31"/>
    <x v="6"/>
    <m/>
    <m/>
    <m/>
    <m/>
    <m/>
    <m/>
    <m/>
    <m/>
    <m/>
    <m/>
    <m/>
    <m/>
    <m/>
    <m/>
    <m/>
    <m/>
    <m/>
  </r>
  <r>
    <x v="31"/>
    <x v="7"/>
    <m/>
    <m/>
    <m/>
    <m/>
    <m/>
    <m/>
    <m/>
    <m/>
    <m/>
    <m/>
    <m/>
    <m/>
    <m/>
    <m/>
    <m/>
    <m/>
    <m/>
  </r>
  <r>
    <x v="31"/>
    <x v="8"/>
    <m/>
    <m/>
    <m/>
    <m/>
    <m/>
    <m/>
    <m/>
    <m/>
    <m/>
    <m/>
    <m/>
    <m/>
    <m/>
    <m/>
    <m/>
    <m/>
    <m/>
  </r>
  <r>
    <x v="31"/>
    <x v="9"/>
    <m/>
    <m/>
    <m/>
    <m/>
    <m/>
    <m/>
    <m/>
    <m/>
    <m/>
    <m/>
    <m/>
    <m/>
    <m/>
    <m/>
    <m/>
    <m/>
    <m/>
  </r>
  <r>
    <x v="31"/>
    <x v="10"/>
    <m/>
    <m/>
    <m/>
    <m/>
    <m/>
    <m/>
    <m/>
    <m/>
    <m/>
    <m/>
    <m/>
    <m/>
    <m/>
    <m/>
    <m/>
    <m/>
    <m/>
  </r>
  <r>
    <x v="31"/>
    <x v="11"/>
    <m/>
    <m/>
    <m/>
    <m/>
    <m/>
    <m/>
    <m/>
    <m/>
    <m/>
    <m/>
    <m/>
    <m/>
    <m/>
    <m/>
    <m/>
    <m/>
    <m/>
  </r>
  <r>
    <x v="31"/>
    <x v="12"/>
    <m/>
    <m/>
    <m/>
    <m/>
    <m/>
    <m/>
    <m/>
    <m/>
    <m/>
    <m/>
    <m/>
    <m/>
    <m/>
    <m/>
    <m/>
    <m/>
    <m/>
  </r>
  <r>
    <x v="31"/>
    <x v="13"/>
    <m/>
    <m/>
    <m/>
    <m/>
    <m/>
    <m/>
    <m/>
    <m/>
    <m/>
    <m/>
    <m/>
    <m/>
    <m/>
    <m/>
    <m/>
    <m/>
    <m/>
  </r>
  <r>
    <x v="31"/>
    <x v="14"/>
    <m/>
    <m/>
    <m/>
    <m/>
    <m/>
    <m/>
    <m/>
    <m/>
    <m/>
    <m/>
    <m/>
    <m/>
    <m/>
    <m/>
    <m/>
    <m/>
    <m/>
  </r>
  <r>
    <x v="31"/>
    <x v="15"/>
    <m/>
    <m/>
    <m/>
    <m/>
    <m/>
    <m/>
    <m/>
    <m/>
    <m/>
    <m/>
    <m/>
    <m/>
    <m/>
    <m/>
    <m/>
    <m/>
    <m/>
  </r>
  <r>
    <x v="31"/>
    <x v="16"/>
    <m/>
    <m/>
    <m/>
    <m/>
    <m/>
    <m/>
    <m/>
    <m/>
    <m/>
    <m/>
    <m/>
    <m/>
    <m/>
    <m/>
    <m/>
    <m/>
    <m/>
  </r>
  <r>
    <x v="31"/>
    <x v="17"/>
    <m/>
    <m/>
    <m/>
    <m/>
    <m/>
    <m/>
    <m/>
    <m/>
    <m/>
    <m/>
    <m/>
    <m/>
    <m/>
    <m/>
    <m/>
    <m/>
    <m/>
  </r>
  <r>
    <x v="31"/>
    <x v="18"/>
    <m/>
    <m/>
    <m/>
    <m/>
    <m/>
    <m/>
    <m/>
    <m/>
    <m/>
    <m/>
    <m/>
    <m/>
    <m/>
    <m/>
    <m/>
    <m/>
    <m/>
  </r>
  <r>
    <x v="31"/>
    <x v="19"/>
    <m/>
    <m/>
    <m/>
    <m/>
    <m/>
    <m/>
    <m/>
    <m/>
    <m/>
    <m/>
    <m/>
    <m/>
    <m/>
    <m/>
    <m/>
    <m/>
    <m/>
  </r>
  <r>
    <x v="31"/>
    <x v="20"/>
    <m/>
    <m/>
    <m/>
    <m/>
    <m/>
    <m/>
    <m/>
    <m/>
    <m/>
    <m/>
    <m/>
    <m/>
    <m/>
    <m/>
    <m/>
    <m/>
    <m/>
  </r>
  <r>
    <x v="31"/>
    <x v="21"/>
    <m/>
    <m/>
    <m/>
    <m/>
    <m/>
    <m/>
    <m/>
    <m/>
    <m/>
    <m/>
    <m/>
    <m/>
    <m/>
    <m/>
    <m/>
    <m/>
    <m/>
  </r>
  <r>
    <x v="31"/>
    <x v="22"/>
    <m/>
    <m/>
    <m/>
    <m/>
    <m/>
    <m/>
    <m/>
    <m/>
    <m/>
    <m/>
    <m/>
    <m/>
    <m/>
    <m/>
    <m/>
    <m/>
    <m/>
  </r>
  <r>
    <x v="31"/>
    <x v="23"/>
    <m/>
    <m/>
    <m/>
    <m/>
    <m/>
    <m/>
    <m/>
    <m/>
    <m/>
    <m/>
    <m/>
    <m/>
    <m/>
    <m/>
    <m/>
    <m/>
    <m/>
  </r>
  <r>
    <x v="31"/>
    <x v="24"/>
    <m/>
    <m/>
    <m/>
    <m/>
    <m/>
    <m/>
    <m/>
    <m/>
    <m/>
    <m/>
    <m/>
    <m/>
    <m/>
    <m/>
    <m/>
    <m/>
    <m/>
  </r>
  <r>
    <x v="31"/>
    <x v="25"/>
    <m/>
    <m/>
    <m/>
    <m/>
    <m/>
    <m/>
    <m/>
    <m/>
    <m/>
    <m/>
    <m/>
    <m/>
    <m/>
    <m/>
    <m/>
    <m/>
    <m/>
  </r>
  <r>
    <x v="31"/>
    <x v="26"/>
    <m/>
    <m/>
    <m/>
    <m/>
    <m/>
    <m/>
    <m/>
    <m/>
    <m/>
    <m/>
    <m/>
    <m/>
    <m/>
    <m/>
    <m/>
    <m/>
    <m/>
  </r>
  <r>
    <x v="31"/>
    <x v="27"/>
    <m/>
    <m/>
    <m/>
    <m/>
    <m/>
    <m/>
    <m/>
    <m/>
    <m/>
    <m/>
    <m/>
    <m/>
    <m/>
    <m/>
    <m/>
    <m/>
    <m/>
  </r>
  <r>
    <x v="31"/>
    <x v="28"/>
    <m/>
    <m/>
    <m/>
    <m/>
    <m/>
    <m/>
    <m/>
    <m/>
    <m/>
    <m/>
    <m/>
    <m/>
    <m/>
    <m/>
    <m/>
    <m/>
    <m/>
  </r>
  <r>
    <x v="31"/>
    <x v="29"/>
    <m/>
    <m/>
    <m/>
    <m/>
    <m/>
    <m/>
    <m/>
    <m/>
    <m/>
    <m/>
    <m/>
    <m/>
    <m/>
    <m/>
    <m/>
    <m/>
    <m/>
  </r>
  <r>
    <x v="31"/>
    <x v="30"/>
    <m/>
    <m/>
    <m/>
    <m/>
    <m/>
    <m/>
    <m/>
    <m/>
    <m/>
    <m/>
    <m/>
    <m/>
    <m/>
    <m/>
    <m/>
    <m/>
    <m/>
  </r>
  <r>
    <x v="31"/>
    <x v="31"/>
    <m/>
    <m/>
    <m/>
    <m/>
    <m/>
    <m/>
    <m/>
    <m/>
    <m/>
    <m/>
    <m/>
    <m/>
    <m/>
    <m/>
    <m/>
    <m/>
    <m/>
  </r>
  <r>
    <x v="31"/>
    <x v="32"/>
    <m/>
    <m/>
    <m/>
    <m/>
    <m/>
    <m/>
    <m/>
    <m/>
    <m/>
    <m/>
    <m/>
    <m/>
    <m/>
    <m/>
    <m/>
    <m/>
    <m/>
  </r>
  <r>
    <x v="31"/>
    <x v="33"/>
    <m/>
    <m/>
    <m/>
    <m/>
    <m/>
    <m/>
    <m/>
    <m/>
    <m/>
    <m/>
    <m/>
    <m/>
    <m/>
    <m/>
    <m/>
    <m/>
    <m/>
  </r>
  <r>
    <x v="31"/>
    <x v="34"/>
    <m/>
    <m/>
    <m/>
    <m/>
    <m/>
    <m/>
    <m/>
    <m/>
    <m/>
    <m/>
    <m/>
    <m/>
    <m/>
    <m/>
    <m/>
    <m/>
    <m/>
  </r>
  <r>
    <x v="31"/>
    <x v="35"/>
    <m/>
    <m/>
    <m/>
    <m/>
    <m/>
    <m/>
    <m/>
    <m/>
    <m/>
    <m/>
    <m/>
    <m/>
    <m/>
    <m/>
    <m/>
    <m/>
    <m/>
  </r>
  <r>
    <x v="31"/>
    <x v="36"/>
    <m/>
    <m/>
    <m/>
    <m/>
    <m/>
    <m/>
    <m/>
    <m/>
    <m/>
    <m/>
    <m/>
    <m/>
    <m/>
    <m/>
    <m/>
    <m/>
    <m/>
  </r>
  <r>
    <x v="31"/>
    <x v="37"/>
    <m/>
    <m/>
    <m/>
    <m/>
    <m/>
    <m/>
    <m/>
    <m/>
    <m/>
    <m/>
    <m/>
    <m/>
    <m/>
    <m/>
    <m/>
    <m/>
    <m/>
  </r>
  <r>
    <x v="31"/>
    <x v="38"/>
    <m/>
    <m/>
    <m/>
    <m/>
    <m/>
    <m/>
    <m/>
    <m/>
    <m/>
    <m/>
    <m/>
    <m/>
    <m/>
    <m/>
    <m/>
    <m/>
    <m/>
  </r>
  <r>
    <x v="31"/>
    <x v="39"/>
    <m/>
    <m/>
    <m/>
    <m/>
    <m/>
    <m/>
    <m/>
    <m/>
    <m/>
    <m/>
    <m/>
    <m/>
    <m/>
    <m/>
    <m/>
    <m/>
    <m/>
  </r>
  <r>
    <x v="31"/>
    <x v="40"/>
    <m/>
    <m/>
    <m/>
    <m/>
    <m/>
    <m/>
    <m/>
    <m/>
    <m/>
    <m/>
    <m/>
    <m/>
    <m/>
    <m/>
    <m/>
    <m/>
    <m/>
  </r>
  <r>
    <x v="31"/>
    <x v="41"/>
    <m/>
    <m/>
    <m/>
    <m/>
    <m/>
    <m/>
    <m/>
    <m/>
    <m/>
    <m/>
    <m/>
    <m/>
    <m/>
    <m/>
    <m/>
    <m/>
    <m/>
  </r>
  <r>
    <x v="31"/>
    <x v="42"/>
    <m/>
    <m/>
    <m/>
    <m/>
    <m/>
    <m/>
    <m/>
    <m/>
    <m/>
    <m/>
    <m/>
    <m/>
    <m/>
    <m/>
    <m/>
    <m/>
    <m/>
  </r>
  <r>
    <x v="31"/>
    <x v="43"/>
    <m/>
    <m/>
    <m/>
    <m/>
    <m/>
    <m/>
    <m/>
    <m/>
    <m/>
    <m/>
    <m/>
    <m/>
    <m/>
    <m/>
    <m/>
    <m/>
    <m/>
  </r>
  <r>
    <x v="31"/>
    <x v="44"/>
    <m/>
    <m/>
    <m/>
    <m/>
    <m/>
    <m/>
    <m/>
    <m/>
    <m/>
    <m/>
    <m/>
    <m/>
    <m/>
    <m/>
    <m/>
    <m/>
    <m/>
  </r>
  <r>
    <x v="31"/>
    <x v="45"/>
    <m/>
    <m/>
    <m/>
    <m/>
    <m/>
    <m/>
    <m/>
    <m/>
    <m/>
    <m/>
    <m/>
    <m/>
    <m/>
    <m/>
    <m/>
    <m/>
    <m/>
  </r>
  <r>
    <x v="31"/>
    <x v="46"/>
    <m/>
    <m/>
    <m/>
    <m/>
    <m/>
    <m/>
    <m/>
    <m/>
    <m/>
    <m/>
    <m/>
    <m/>
    <m/>
    <m/>
    <m/>
    <m/>
    <m/>
  </r>
  <r>
    <x v="31"/>
    <x v="47"/>
    <m/>
    <m/>
    <m/>
    <m/>
    <m/>
    <m/>
    <m/>
    <m/>
    <m/>
    <m/>
    <m/>
    <m/>
    <m/>
    <m/>
    <m/>
    <m/>
    <m/>
  </r>
  <r>
    <x v="31"/>
    <x v="48"/>
    <m/>
    <m/>
    <m/>
    <m/>
    <m/>
    <m/>
    <m/>
    <m/>
    <m/>
    <m/>
    <m/>
    <m/>
    <m/>
    <m/>
    <m/>
    <m/>
    <m/>
  </r>
  <r>
    <x v="31"/>
    <x v="49"/>
    <m/>
    <m/>
    <m/>
    <m/>
    <m/>
    <m/>
    <m/>
    <m/>
    <m/>
    <m/>
    <m/>
    <m/>
    <m/>
    <m/>
    <m/>
    <m/>
    <m/>
  </r>
  <r>
    <x v="31"/>
    <x v="50"/>
    <m/>
    <m/>
    <m/>
    <m/>
    <m/>
    <m/>
    <m/>
    <m/>
    <m/>
    <m/>
    <m/>
    <m/>
    <m/>
    <m/>
    <m/>
    <m/>
    <m/>
  </r>
  <r>
    <x v="31"/>
    <x v="51"/>
    <m/>
    <m/>
    <m/>
    <m/>
    <m/>
    <m/>
    <m/>
    <m/>
    <m/>
    <m/>
    <m/>
    <m/>
    <m/>
    <m/>
    <m/>
    <m/>
    <m/>
  </r>
  <r>
    <x v="32"/>
    <x v="0"/>
    <m/>
    <m/>
    <m/>
    <m/>
    <m/>
    <m/>
    <m/>
    <m/>
    <m/>
    <m/>
    <m/>
    <m/>
    <m/>
    <m/>
    <m/>
    <m/>
    <m/>
  </r>
  <r>
    <x v="32"/>
    <x v="1"/>
    <m/>
    <m/>
    <m/>
    <m/>
    <m/>
    <m/>
    <m/>
    <m/>
    <m/>
    <m/>
    <m/>
    <m/>
    <m/>
    <m/>
    <m/>
    <m/>
    <m/>
  </r>
  <r>
    <x v="32"/>
    <x v="2"/>
    <m/>
    <m/>
    <m/>
    <m/>
    <m/>
    <m/>
    <m/>
    <m/>
    <m/>
    <m/>
    <m/>
    <m/>
    <m/>
    <m/>
    <m/>
    <m/>
    <m/>
  </r>
  <r>
    <x v="32"/>
    <x v="3"/>
    <m/>
    <m/>
    <m/>
    <m/>
    <m/>
    <m/>
    <m/>
    <m/>
    <m/>
    <m/>
    <m/>
    <m/>
    <m/>
    <m/>
    <m/>
    <m/>
    <m/>
  </r>
  <r>
    <x v="32"/>
    <x v="4"/>
    <m/>
    <m/>
    <m/>
    <m/>
    <m/>
    <m/>
    <m/>
    <m/>
    <m/>
    <m/>
    <m/>
    <m/>
    <m/>
    <m/>
    <m/>
    <m/>
    <m/>
  </r>
  <r>
    <x v="32"/>
    <x v="5"/>
    <m/>
    <m/>
    <m/>
    <m/>
    <m/>
    <m/>
    <m/>
    <m/>
    <m/>
    <m/>
    <m/>
    <m/>
    <m/>
    <m/>
    <m/>
    <m/>
    <m/>
  </r>
  <r>
    <x v="32"/>
    <x v="6"/>
    <m/>
    <m/>
    <m/>
    <m/>
    <m/>
    <m/>
    <m/>
    <m/>
    <m/>
    <m/>
    <m/>
    <m/>
    <m/>
    <m/>
    <m/>
    <m/>
    <m/>
  </r>
  <r>
    <x v="32"/>
    <x v="7"/>
    <m/>
    <m/>
    <m/>
    <m/>
    <m/>
    <m/>
    <m/>
    <m/>
    <m/>
    <m/>
    <m/>
    <m/>
    <m/>
    <m/>
    <m/>
    <m/>
    <m/>
  </r>
  <r>
    <x v="32"/>
    <x v="8"/>
    <m/>
    <m/>
    <m/>
    <m/>
    <m/>
    <m/>
    <m/>
    <m/>
    <m/>
    <m/>
    <m/>
    <m/>
    <m/>
    <m/>
    <m/>
    <m/>
    <m/>
  </r>
  <r>
    <x v="32"/>
    <x v="9"/>
    <m/>
    <m/>
    <m/>
    <m/>
    <m/>
    <m/>
    <m/>
    <m/>
    <m/>
    <m/>
    <m/>
    <m/>
    <m/>
    <m/>
    <m/>
    <m/>
    <m/>
  </r>
  <r>
    <x v="32"/>
    <x v="10"/>
    <m/>
    <m/>
    <m/>
    <m/>
    <m/>
    <m/>
    <m/>
    <m/>
    <m/>
    <m/>
    <m/>
    <m/>
    <m/>
    <m/>
    <m/>
    <m/>
    <m/>
  </r>
  <r>
    <x v="32"/>
    <x v="11"/>
    <m/>
    <m/>
    <m/>
    <m/>
    <m/>
    <m/>
    <m/>
    <m/>
    <m/>
    <m/>
    <m/>
    <m/>
    <m/>
    <m/>
    <m/>
    <m/>
    <m/>
  </r>
  <r>
    <x v="32"/>
    <x v="12"/>
    <m/>
    <m/>
    <m/>
    <m/>
    <m/>
    <m/>
    <m/>
    <m/>
    <m/>
    <m/>
    <m/>
    <m/>
    <m/>
    <m/>
    <m/>
    <m/>
    <m/>
  </r>
  <r>
    <x v="32"/>
    <x v="13"/>
    <m/>
    <m/>
    <m/>
    <m/>
    <m/>
    <m/>
    <m/>
    <m/>
    <m/>
    <m/>
    <m/>
    <m/>
    <m/>
    <m/>
    <m/>
    <m/>
    <m/>
  </r>
  <r>
    <x v="32"/>
    <x v="14"/>
    <m/>
    <m/>
    <m/>
    <m/>
    <m/>
    <m/>
    <m/>
    <m/>
    <m/>
    <m/>
    <m/>
    <m/>
    <m/>
    <m/>
    <m/>
    <m/>
    <m/>
  </r>
  <r>
    <x v="32"/>
    <x v="15"/>
    <m/>
    <m/>
    <m/>
    <m/>
    <m/>
    <m/>
    <m/>
    <m/>
    <m/>
    <m/>
    <m/>
    <m/>
    <m/>
    <m/>
    <m/>
    <m/>
    <m/>
  </r>
  <r>
    <x v="32"/>
    <x v="16"/>
    <m/>
    <m/>
    <m/>
    <m/>
    <m/>
    <m/>
    <m/>
    <m/>
    <m/>
    <m/>
    <m/>
    <m/>
    <m/>
    <m/>
    <m/>
    <m/>
    <m/>
  </r>
  <r>
    <x v="32"/>
    <x v="17"/>
    <m/>
    <m/>
    <m/>
    <m/>
    <m/>
    <m/>
    <m/>
    <m/>
    <m/>
    <m/>
    <m/>
    <m/>
    <m/>
    <m/>
    <m/>
    <m/>
    <m/>
  </r>
  <r>
    <x v="32"/>
    <x v="18"/>
    <m/>
    <m/>
    <m/>
    <m/>
    <m/>
    <m/>
    <m/>
    <m/>
    <m/>
    <m/>
    <m/>
    <m/>
    <m/>
    <m/>
    <m/>
    <m/>
    <m/>
  </r>
  <r>
    <x v="32"/>
    <x v="19"/>
    <m/>
    <m/>
    <m/>
    <m/>
    <m/>
    <m/>
    <m/>
    <m/>
    <m/>
    <m/>
    <m/>
    <m/>
    <m/>
    <m/>
    <m/>
    <m/>
    <m/>
  </r>
  <r>
    <x v="32"/>
    <x v="20"/>
    <m/>
    <m/>
    <m/>
    <m/>
    <m/>
    <m/>
    <m/>
    <m/>
    <m/>
    <m/>
    <m/>
    <m/>
    <m/>
    <m/>
    <m/>
    <m/>
    <m/>
  </r>
  <r>
    <x v="32"/>
    <x v="21"/>
    <m/>
    <m/>
    <m/>
    <m/>
    <m/>
    <m/>
    <m/>
    <m/>
    <m/>
    <m/>
    <m/>
    <m/>
    <m/>
    <m/>
    <m/>
    <m/>
    <m/>
  </r>
  <r>
    <x v="32"/>
    <x v="22"/>
    <m/>
    <m/>
    <m/>
    <m/>
    <m/>
    <m/>
    <m/>
    <m/>
    <m/>
    <m/>
    <m/>
    <m/>
    <m/>
    <m/>
    <m/>
    <m/>
    <m/>
  </r>
  <r>
    <x v="32"/>
    <x v="23"/>
    <m/>
    <m/>
    <m/>
    <m/>
    <m/>
    <m/>
    <m/>
    <m/>
    <m/>
    <m/>
    <m/>
    <m/>
    <m/>
    <m/>
    <m/>
    <m/>
    <m/>
  </r>
  <r>
    <x v="32"/>
    <x v="24"/>
    <m/>
    <m/>
    <m/>
    <m/>
    <m/>
    <m/>
    <m/>
    <m/>
    <m/>
    <m/>
    <m/>
    <m/>
    <m/>
    <m/>
    <m/>
    <m/>
    <m/>
  </r>
  <r>
    <x v="32"/>
    <x v="25"/>
    <m/>
    <m/>
    <m/>
    <m/>
    <m/>
    <m/>
    <m/>
    <m/>
    <m/>
    <m/>
    <m/>
    <m/>
    <m/>
    <m/>
    <m/>
    <m/>
    <m/>
  </r>
  <r>
    <x v="32"/>
    <x v="26"/>
    <m/>
    <m/>
    <m/>
    <m/>
    <m/>
    <m/>
    <m/>
    <m/>
    <m/>
    <m/>
    <m/>
    <m/>
    <m/>
    <m/>
    <m/>
    <m/>
    <m/>
  </r>
  <r>
    <x v="32"/>
    <x v="27"/>
    <m/>
    <m/>
    <m/>
    <m/>
    <m/>
    <m/>
    <m/>
    <m/>
    <m/>
    <m/>
    <m/>
    <m/>
    <m/>
    <m/>
    <m/>
    <m/>
    <m/>
  </r>
  <r>
    <x v="32"/>
    <x v="28"/>
    <m/>
    <m/>
    <m/>
    <m/>
    <m/>
    <m/>
    <m/>
    <m/>
    <m/>
    <m/>
    <m/>
    <m/>
    <m/>
    <m/>
    <m/>
    <m/>
    <m/>
  </r>
  <r>
    <x v="32"/>
    <x v="29"/>
    <m/>
    <m/>
    <m/>
    <m/>
    <m/>
    <m/>
    <m/>
    <m/>
    <m/>
    <m/>
    <m/>
    <m/>
    <m/>
    <m/>
    <m/>
    <m/>
    <m/>
  </r>
  <r>
    <x v="32"/>
    <x v="30"/>
    <m/>
    <m/>
    <m/>
    <m/>
    <m/>
    <m/>
    <m/>
    <m/>
    <m/>
    <m/>
    <m/>
    <m/>
    <m/>
    <m/>
    <m/>
    <m/>
    <m/>
  </r>
  <r>
    <x v="32"/>
    <x v="31"/>
    <m/>
    <m/>
    <m/>
    <m/>
    <m/>
    <m/>
    <m/>
    <m/>
    <m/>
    <m/>
    <m/>
    <m/>
    <m/>
    <m/>
    <m/>
    <m/>
    <m/>
  </r>
  <r>
    <x v="32"/>
    <x v="32"/>
    <m/>
    <m/>
    <m/>
    <m/>
    <m/>
    <m/>
    <m/>
    <m/>
    <m/>
    <m/>
    <m/>
    <m/>
    <m/>
    <m/>
    <m/>
    <m/>
    <m/>
  </r>
  <r>
    <x v="32"/>
    <x v="33"/>
    <m/>
    <m/>
    <m/>
    <m/>
    <m/>
    <m/>
    <m/>
    <m/>
    <m/>
    <m/>
    <m/>
    <m/>
    <m/>
    <m/>
    <m/>
    <m/>
    <m/>
  </r>
  <r>
    <x v="32"/>
    <x v="34"/>
    <m/>
    <m/>
    <m/>
    <m/>
    <m/>
    <m/>
    <n v="1"/>
    <n v="1"/>
    <m/>
    <m/>
    <n v="1"/>
    <n v="1"/>
    <n v="1"/>
    <n v="1"/>
    <n v="1"/>
    <n v="1"/>
    <m/>
  </r>
  <r>
    <x v="32"/>
    <x v="35"/>
    <m/>
    <m/>
    <m/>
    <m/>
    <m/>
    <m/>
    <m/>
    <m/>
    <m/>
    <m/>
    <m/>
    <m/>
    <m/>
    <m/>
    <m/>
    <m/>
    <m/>
  </r>
  <r>
    <x v="32"/>
    <x v="36"/>
    <m/>
    <m/>
    <m/>
    <m/>
    <m/>
    <m/>
    <m/>
    <m/>
    <m/>
    <m/>
    <m/>
    <m/>
    <m/>
    <m/>
    <m/>
    <m/>
    <m/>
  </r>
  <r>
    <x v="32"/>
    <x v="37"/>
    <m/>
    <m/>
    <m/>
    <m/>
    <m/>
    <m/>
    <m/>
    <m/>
    <m/>
    <m/>
    <m/>
    <m/>
    <m/>
    <m/>
    <m/>
    <m/>
    <m/>
  </r>
  <r>
    <x v="32"/>
    <x v="38"/>
    <m/>
    <m/>
    <m/>
    <m/>
    <m/>
    <m/>
    <m/>
    <m/>
    <m/>
    <m/>
    <m/>
    <m/>
    <m/>
    <m/>
    <m/>
    <m/>
    <m/>
  </r>
  <r>
    <x v="32"/>
    <x v="39"/>
    <m/>
    <m/>
    <m/>
    <m/>
    <m/>
    <m/>
    <m/>
    <m/>
    <m/>
    <m/>
    <m/>
    <m/>
    <m/>
    <m/>
    <m/>
    <m/>
    <m/>
  </r>
  <r>
    <x v="32"/>
    <x v="40"/>
    <m/>
    <m/>
    <m/>
    <m/>
    <m/>
    <m/>
    <m/>
    <m/>
    <m/>
    <m/>
    <m/>
    <m/>
    <m/>
    <m/>
    <m/>
    <m/>
    <m/>
  </r>
  <r>
    <x v="32"/>
    <x v="41"/>
    <m/>
    <m/>
    <m/>
    <m/>
    <m/>
    <m/>
    <m/>
    <m/>
    <m/>
    <m/>
    <m/>
    <m/>
    <m/>
    <m/>
    <m/>
    <m/>
    <m/>
  </r>
  <r>
    <x v="32"/>
    <x v="42"/>
    <m/>
    <m/>
    <m/>
    <m/>
    <m/>
    <m/>
    <m/>
    <m/>
    <m/>
    <m/>
    <m/>
    <m/>
    <m/>
    <m/>
    <m/>
    <m/>
    <m/>
  </r>
  <r>
    <x v="32"/>
    <x v="43"/>
    <m/>
    <m/>
    <m/>
    <m/>
    <m/>
    <m/>
    <m/>
    <m/>
    <m/>
    <m/>
    <m/>
    <m/>
    <m/>
    <m/>
    <m/>
    <m/>
    <m/>
  </r>
  <r>
    <x v="32"/>
    <x v="44"/>
    <m/>
    <m/>
    <m/>
    <m/>
    <m/>
    <m/>
    <m/>
    <m/>
    <m/>
    <m/>
    <m/>
    <m/>
    <m/>
    <m/>
    <m/>
    <m/>
    <m/>
  </r>
  <r>
    <x v="32"/>
    <x v="45"/>
    <m/>
    <m/>
    <m/>
    <m/>
    <m/>
    <m/>
    <m/>
    <m/>
    <m/>
    <m/>
    <m/>
    <m/>
    <m/>
    <m/>
    <m/>
    <m/>
    <m/>
  </r>
  <r>
    <x v="32"/>
    <x v="46"/>
    <m/>
    <m/>
    <m/>
    <m/>
    <m/>
    <m/>
    <m/>
    <m/>
    <m/>
    <m/>
    <m/>
    <m/>
    <m/>
    <m/>
    <m/>
    <m/>
    <m/>
  </r>
  <r>
    <x v="32"/>
    <x v="47"/>
    <m/>
    <m/>
    <m/>
    <m/>
    <m/>
    <m/>
    <m/>
    <m/>
    <m/>
    <m/>
    <m/>
    <m/>
    <m/>
    <m/>
    <m/>
    <m/>
    <m/>
  </r>
  <r>
    <x v="32"/>
    <x v="48"/>
    <m/>
    <m/>
    <m/>
    <m/>
    <m/>
    <m/>
    <m/>
    <m/>
    <m/>
    <m/>
    <m/>
    <m/>
    <m/>
    <m/>
    <m/>
    <m/>
    <m/>
  </r>
  <r>
    <x v="32"/>
    <x v="49"/>
    <m/>
    <m/>
    <m/>
    <m/>
    <m/>
    <m/>
    <m/>
    <m/>
    <m/>
    <m/>
    <m/>
    <m/>
    <m/>
    <m/>
    <m/>
    <m/>
    <m/>
  </r>
  <r>
    <x v="32"/>
    <x v="50"/>
    <m/>
    <m/>
    <m/>
    <m/>
    <m/>
    <m/>
    <m/>
    <m/>
    <m/>
    <m/>
    <m/>
    <m/>
    <m/>
    <m/>
    <m/>
    <m/>
    <m/>
  </r>
  <r>
    <x v="32"/>
    <x v="51"/>
    <m/>
    <m/>
    <m/>
    <m/>
    <m/>
    <m/>
    <m/>
    <m/>
    <m/>
    <m/>
    <m/>
    <m/>
    <m/>
    <m/>
    <m/>
    <m/>
    <m/>
  </r>
  <r>
    <x v="33"/>
    <x v="0"/>
    <m/>
    <m/>
    <m/>
    <m/>
    <m/>
    <m/>
    <m/>
    <m/>
    <m/>
    <m/>
    <m/>
    <m/>
    <m/>
    <m/>
    <m/>
    <m/>
    <m/>
  </r>
  <r>
    <x v="33"/>
    <x v="1"/>
    <m/>
    <m/>
    <m/>
    <m/>
    <m/>
    <m/>
    <m/>
    <m/>
    <m/>
    <m/>
    <m/>
    <m/>
    <m/>
    <m/>
    <m/>
    <m/>
    <m/>
  </r>
  <r>
    <x v="33"/>
    <x v="2"/>
    <m/>
    <m/>
    <m/>
    <m/>
    <m/>
    <m/>
    <m/>
    <m/>
    <m/>
    <m/>
    <m/>
    <m/>
    <m/>
    <m/>
    <m/>
    <m/>
    <m/>
  </r>
  <r>
    <x v="33"/>
    <x v="3"/>
    <m/>
    <m/>
    <m/>
    <m/>
    <m/>
    <m/>
    <m/>
    <m/>
    <m/>
    <m/>
    <m/>
    <m/>
    <m/>
    <m/>
    <m/>
    <m/>
    <m/>
  </r>
  <r>
    <x v="33"/>
    <x v="4"/>
    <m/>
    <m/>
    <m/>
    <m/>
    <m/>
    <m/>
    <m/>
    <m/>
    <m/>
    <m/>
    <m/>
    <m/>
    <m/>
    <m/>
    <m/>
    <m/>
    <m/>
  </r>
  <r>
    <x v="33"/>
    <x v="5"/>
    <m/>
    <m/>
    <m/>
    <m/>
    <m/>
    <m/>
    <m/>
    <m/>
    <m/>
    <m/>
    <m/>
    <m/>
    <m/>
    <m/>
    <m/>
    <m/>
    <m/>
  </r>
  <r>
    <x v="33"/>
    <x v="6"/>
    <m/>
    <m/>
    <m/>
    <m/>
    <m/>
    <m/>
    <m/>
    <m/>
    <m/>
    <m/>
    <m/>
    <m/>
    <m/>
    <m/>
    <m/>
    <m/>
    <m/>
  </r>
  <r>
    <x v="33"/>
    <x v="7"/>
    <m/>
    <m/>
    <m/>
    <m/>
    <m/>
    <m/>
    <m/>
    <m/>
    <m/>
    <m/>
    <m/>
    <m/>
    <m/>
    <m/>
    <m/>
    <m/>
    <m/>
  </r>
  <r>
    <x v="33"/>
    <x v="8"/>
    <m/>
    <m/>
    <m/>
    <m/>
    <m/>
    <m/>
    <m/>
    <m/>
    <m/>
    <m/>
    <m/>
    <m/>
    <m/>
    <m/>
    <m/>
    <m/>
    <m/>
  </r>
  <r>
    <x v="33"/>
    <x v="9"/>
    <m/>
    <m/>
    <m/>
    <m/>
    <m/>
    <m/>
    <m/>
    <m/>
    <m/>
    <m/>
    <m/>
    <m/>
    <m/>
    <m/>
    <m/>
    <m/>
    <m/>
  </r>
  <r>
    <x v="33"/>
    <x v="10"/>
    <m/>
    <m/>
    <m/>
    <m/>
    <m/>
    <m/>
    <m/>
    <m/>
    <m/>
    <m/>
    <m/>
    <m/>
    <m/>
    <m/>
    <m/>
    <m/>
    <m/>
  </r>
  <r>
    <x v="33"/>
    <x v="11"/>
    <m/>
    <m/>
    <m/>
    <m/>
    <m/>
    <m/>
    <m/>
    <m/>
    <m/>
    <m/>
    <m/>
    <m/>
    <m/>
    <m/>
    <m/>
    <m/>
    <m/>
  </r>
  <r>
    <x v="33"/>
    <x v="12"/>
    <m/>
    <m/>
    <m/>
    <m/>
    <m/>
    <m/>
    <m/>
    <m/>
    <m/>
    <m/>
    <m/>
    <m/>
    <m/>
    <m/>
    <m/>
    <m/>
    <m/>
  </r>
  <r>
    <x v="33"/>
    <x v="13"/>
    <m/>
    <m/>
    <m/>
    <m/>
    <m/>
    <m/>
    <m/>
    <m/>
    <m/>
    <m/>
    <m/>
    <m/>
    <m/>
    <m/>
    <m/>
    <m/>
    <m/>
  </r>
  <r>
    <x v="33"/>
    <x v="14"/>
    <m/>
    <m/>
    <m/>
    <m/>
    <m/>
    <m/>
    <m/>
    <m/>
    <m/>
    <m/>
    <m/>
    <m/>
    <m/>
    <m/>
    <m/>
    <m/>
    <m/>
  </r>
  <r>
    <x v="33"/>
    <x v="15"/>
    <m/>
    <m/>
    <m/>
    <m/>
    <m/>
    <m/>
    <m/>
    <m/>
    <m/>
    <m/>
    <m/>
    <m/>
    <m/>
    <m/>
    <m/>
    <m/>
    <m/>
  </r>
  <r>
    <x v="33"/>
    <x v="16"/>
    <m/>
    <m/>
    <m/>
    <m/>
    <m/>
    <m/>
    <m/>
    <m/>
    <m/>
    <m/>
    <m/>
    <m/>
    <m/>
    <m/>
    <m/>
    <m/>
    <m/>
  </r>
  <r>
    <x v="33"/>
    <x v="17"/>
    <m/>
    <m/>
    <m/>
    <m/>
    <m/>
    <m/>
    <m/>
    <m/>
    <m/>
    <m/>
    <m/>
    <m/>
    <m/>
    <m/>
    <m/>
    <m/>
    <m/>
  </r>
  <r>
    <x v="33"/>
    <x v="18"/>
    <m/>
    <m/>
    <m/>
    <m/>
    <m/>
    <m/>
    <m/>
    <m/>
    <m/>
    <m/>
    <m/>
    <m/>
    <m/>
    <m/>
    <m/>
    <m/>
    <m/>
  </r>
  <r>
    <x v="33"/>
    <x v="19"/>
    <m/>
    <m/>
    <m/>
    <m/>
    <m/>
    <m/>
    <m/>
    <m/>
    <m/>
    <m/>
    <m/>
    <m/>
    <m/>
    <m/>
    <m/>
    <m/>
    <m/>
  </r>
  <r>
    <x v="33"/>
    <x v="20"/>
    <m/>
    <m/>
    <m/>
    <m/>
    <m/>
    <m/>
    <m/>
    <n v="4"/>
    <m/>
    <n v="4"/>
    <n v="4"/>
    <n v="8"/>
    <m/>
    <n v="8"/>
    <n v="2"/>
    <m/>
    <m/>
  </r>
  <r>
    <x v="33"/>
    <x v="21"/>
    <m/>
    <m/>
    <m/>
    <m/>
    <m/>
    <m/>
    <m/>
    <m/>
    <m/>
    <m/>
    <m/>
    <m/>
    <m/>
    <m/>
    <m/>
    <m/>
    <m/>
  </r>
  <r>
    <x v="33"/>
    <x v="22"/>
    <m/>
    <m/>
    <m/>
    <m/>
    <m/>
    <m/>
    <m/>
    <m/>
    <m/>
    <m/>
    <m/>
    <m/>
    <m/>
    <m/>
    <m/>
    <m/>
    <m/>
  </r>
  <r>
    <x v="33"/>
    <x v="23"/>
    <m/>
    <m/>
    <m/>
    <m/>
    <m/>
    <m/>
    <m/>
    <n v="4"/>
    <m/>
    <n v="4"/>
    <m/>
    <n v="8"/>
    <m/>
    <n v="4"/>
    <m/>
    <m/>
    <m/>
  </r>
  <r>
    <x v="33"/>
    <x v="24"/>
    <m/>
    <m/>
    <m/>
    <m/>
    <m/>
    <m/>
    <m/>
    <m/>
    <m/>
    <m/>
    <m/>
    <m/>
    <m/>
    <m/>
    <m/>
    <m/>
    <m/>
  </r>
  <r>
    <x v="33"/>
    <x v="25"/>
    <m/>
    <m/>
    <m/>
    <m/>
    <m/>
    <m/>
    <m/>
    <m/>
    <m/>
    <m/>
    <m/>
    <m/>
    <m/>
    <m/>
    <m/>
    <m/>
    <m/>
  </r>
  <r>
    <x v="33"/>
    <x v="26"/>
    <m/>
    <m/>
    <m/>
    <m/>
    <m/>
    <m/>
    <m/>
    <n v="4"/>
    <m/>
    <n v="4"/>
    <m/>
    <n v="8"/>
    <m/>
    <n v="4"/>
    <m/>
    <m/>
    <m/>
  </r>
  <r>
    <x v="33"/>
    <x v="27"/>
    <m/>
    <m/>
    <m/>
    <m/>
    <m/>
    <m/>
    <m/>
    <m/>
    <m/>
    <m/>
    <m/>
    <m/>
    <m/>
    <m/>
    <m/>
    <m/>
    <m/>
  </r>
  <r>
    <x v="33"/>
    <x v="28"/>
    <m/>
    <m/>
    <m/>
    <m/>
    <m/>
    <m/>
    <m/>
    <m/>
    <m/>
    <m/>
    <m/>
    <m/>
    <m/>
    <m/>
    <m/>
    <m/>
    <m/>
  </r>
  <r>
    <x v="33"/>
    <x v="29"/>
    <m/>
    <m/>
    <m/>
    <m/>
    <m/>
    <m/>
    <m/>
    <m/>
    <m/>
    <m/>
    <m/>
    <m/>
    <m/>
    <m/>
    <m/>
    <m/>
    <m/>
  </r>
  <r>
    <x v="33"/>
    <x v="30"/>
    <m/>
    <m/>
    <m/>
    <m/>
    <m/>
    <m/>
    <m/>
    <m/>
    <m/>
    <m/>
    <m/>
    <m/>
    <m/>
    <m/>
    <m/>
    <m/>
    <m/>
  </r>
  <r>
    <x v="33"/>
    <x v="31"/>
    <m/>
    <m/>
    <m/>
    <m/>
    <m/>
    <m/>
    <m/>
    <m/>
    <m/>
    <m/>
    <m/>
    <m/>
    <m/>
    <m/>
    <m/>
    <m/>
    <m/>
  </r>
  <r>
    <x v="33"/>
    <x v="32"/>
    <m/>
    <m/>
    <m/>
    <m/>
    <m/>
    <m/>
    <m/>
    <m/>
    <m/>
    <m/>
    <m/>
    <m/>
    <m/>
    <m/>
    <m/>
    <m/>
    <m/>
  </r>
  <r>
    <x v="33"/>
    <x v="33"/>
    <m/>
    <m/>
    <m/>
    <m/>
    <m/>
    <m/>
    <m/>
    <m/>
    <m/>
    <m/>
    <m/>
    <m/>
    <m/>
    <m/>
    <m/>
    <m/>
    <m/>
  </r>
  <r>
    <x v="33"/>
    <x v="34"/>
    <m/>
    <m/>
    <m/>
    <m/>
    <m/>
    <m/>
    <m/>
    <m/>
    <m/>
    <m/>
    <m/>
    <m/>
    <m/>
    <m/>
    <m/>
    <m/>
    <m/>
  </r>
  <r>
    <x v="33"/>
    <x v="35"/>
    <m/>
    <m/>
    <m/>
    <m/>
    <m/>
    <m/>
    <m/>
    <m/>
    <m/>
    <m/>
    <m/>
    <m/>
    <m/>
    <m/>
    <m/>
    <m/>
    <m/>
  </r>
  <r>
    <x v="33"/>
    <x v="36"/>
    <m/>
    <m/>
    <m/>
    <m/>
    <m/>
    <m/>
    <m/>
    <m/>
    <m/>
    <m/>
    <m/>
    <m/>
    <m/>
    <m/>
    <m/>
    <m/>
    <m/>
  </r>
  <r>
    <x v="33"/>
    <x v="37"/>
    <m/>
    <m/>
    <m/>
    <m/>
    <m/>
    <m/>
    <m/>
    <m/>
    <m/>
    <m/>
    <m/>
    <m/>
    <m/>
    <m/>
    <m/>
    <m/>
    <m/>
  </r>
  <r>
    <x v="33"/>
    <x v="38"/>
    <m/>
    <m/>
    <m/>
    <m/>
    <m/>
    <m/>
    <m/>
    <m/>
    <m/>
    <m/>
    <m/>
    <m/>
    <m/>
    <m/>
    <m/>
    <m/>
    <m/>
  </r>
  <r>
    <x v="33"/>
    <x v="39"/>
    <m/>
    <m/>
    <m/>
    <m/>
    <m/>
    <m/>
    <m/>
    <m/>
    <m/>
    <m/>
    <m/>
    <m/>
    <m/>
    <m/>
    <m/>
    <m/>
    <m/>
  </r>
  <r>
    <x v="33"/>
    <x v="40"/>
    <m/>
    <m/>
    <m/>
    <m/>
    <m/>
    <m/>
    <m/>
    <m/>
    <m/>
    <m/>
    <m/>
    <m/>
    <m/>
    <m/>
    <m/>
    <m/>
    <m/>
  </r>
  <r>
    <x v="33"/>
    <x v="41"/>
    <m/>
    <m/>
    <m/>
    <m/>
    <m/>
    <m/>
    <m/>
    <m/>
    <m/>
    <m/>
    <m/>
    <m/>
    <m/>
    <m/>
    <m/>
    <m/>
    <m/>
  </r>
  <r>
    <x v="33"/>
    <x v="42"/>
    <m/>
    <m/>
    <m/>
    <m/>
    <m/>
    <m/>
    <m/>
    <m/>
    <m/>
    <m/>
    <m/>
    <m/>
    <m/>
    <m/>
    <m/>
    <m/>
    <m/>
  </r>
  <r>
    <x v="33"/>
    <x v="43"/>
    <m/>
    <m/>
    <m/>
    <m/>
    <m/>
    <m/>
    <m/>
    <m/>
    <m/>
    <m/>
    <m/>
    <m/>
    <m/>
    <m/>
    <m/>
    <m/>
    <m/>
  </r>
  <r>
    <x v="33"/>
    <x v="44"/>
    <m/>
    <m/>
    <m/>
    <m/>
    <m/>
    <m/>
    <m/>
    <m/>
    <m/>
    <m/>
    <m/>
    <m/>
    <m/>
    <m/>
    <m/>
    <m/>
    <m/>
  </r>
  <r>
    <x v="33"/>
    <x v="45"/>
    <m/>
    <m/>
    <m/>
    <m/>
    <m/>
    <m/>
    <m/>
    <m/>
    <m/>
    <m/>
    <m/>
    <m/>
    <m/>
    <m/>
    <m/>
    <m/>
    <m/>
  </r>
  <r>
    <x v="33"/>
    <x v="46"/>
    <m/>
    <m/>
    <m/>
    <m/>
    <m/>
    <m/>
    <m/>
    <m/>
    <m/>
    <m/>
    <m/>
    <m/>
    <m/>
    <m/>
    <m/>
    <m/>
    <m/>
  </r>
  <r>
    <x v="33"/>
    <x v="47"/>
    <m/>
    <m/>
    <m/>
    <m/>
    <m/>
    <m/>
    <m/>
    <m/>
    <m/>
    <m/>
    <m/>
    <m/>
    <m/>
    <m/>
    <m/>
    <m/>
    <m/>
  </r>
  <r>
    <x v="33"/>
    <x v="48"/>
    <m/>
    <m/>
    <m/>
    <m/>
    <m/>
    <m/>
    <m/>
    <m/>
    <m/>
    <m/>
    <m/>
    <m/>
    <m/>
    <m/>
    <m/>
    <m/>
    <m/>
  </r>
  <r>
    <x v="33"/>
    <x v="49"/>
    <m/>
    <m/>
    <m/>
    <m/>
    <m/>
    <m/>
    <m/>
    <m/>
    <m/>
    <m/>
    <m/>
    <m/>
    <m/>
    <m/>
    <m/>
    <m/>
    <m/>
  </r>
  <r>
    <x v="33"/>
    <x v="50"/>
    <m/>
    <m/>
    <m/>
    <m/>
    <m/>
    <m/>
    <m/>
    <m/>
    <m/>
    <m/>
    <m/>
    <m/>
    <m/>
    <m/>
    <m/>
    <m/>
    <m/>
  </r>
  <r>
    <x v="33"/>
    <x v="51"/>
    <m/>
    <m/>
    <m/>
    <m/>
    <m/>
    <m/>
    <m/>
    <m/>
    <m/>
    <m/>
    <m/>
    <m/>
    <m/>
    <m/>
    <m/>
    <m/>
    <m/>
  </r>
  <r>
    <x v="34"/>
    <x v="0"/>
    <m/>
    <m/>
    <m/>
    <m/>
    <m/>
    <m/>
    <m/>
    <m/>
    <m/>
    <m/>
    <m/>
    <m/>
    <m/>
    <m/>
    <m/>
    <m/>
    <m/>
  </r>
  <r>
    <x v="34"/>
    <x v="1"/>
    <m/>
    <m/>
    <m/>
    <m/>
    <m/>
    <m/>
    <m/>
    <m/>
    <m/>
    <m/>
    <m/>
    <m/>
    <m/>
    <m/>
    <m/>
    <m/>
    <m/>
  </r>
  <r>
    <x v="34"/>
    <x v="2"/>
    <m/>
    <m/>
    <m/>
    <m/>
    <m/>
    <m/>
    <m/>
    <m/>
    <m/>
    <m/>
    <m/>
    <m/>
    <m/>
    <m/>
    <m/>
    <m/>
    <m/>
  </r>
  <r>
    <x v="34"/>
    <x v="3"/>
    <m/>
    <m/>
    <m/>
    <m/>
    <m/>
    <m/>
    <m/>
    <m/>
    <m/>
    <m/>
    <m/>
    <m/>
    <m/>
    <m/>
    <m/>
    <m/>
    <m/>
  </r>
  <r>
    <x v="34"/>
    <x v="4"/>
    <m/>
    <m/>
    <m/>
    <m/>
    <m/>
    <m/>
    <m/>
    <m/>
    <m/>
    <m/>
    <m/>
    <m/>
    <m/>
    <m/>
    <m/>
    <m/>
    <m/>
  </r>
  <r>
    <x v="34"/>
    <x v="5"/>
    <m/>
    <m/>
    <m/>
    <m/>
    <m/>
    <m/>
    <m/>
    <m/>
    <m/>
    <m/>
    <m/>
    <m/>
    <m/>
    <m/>
    <m/>
    <m/>
    <m/>
  </r>
  <r>
    <x v="34"/>
    <x v="6"/>
    <m/>
    <m/>
    <m/>
    <m/>
    <m/>
    <m/>
    <m/>
    <m/>
    <m/>
    <m/>
    <m/>
    <m/>
    <m/>
    <m/>
    <m/>
    <m/>
    <m/>
  </r>
  <r>
    <x v="34"/>
    <x v="7"/>
    <m/>
    <m/>
    <m/>
    <m/>
    <m/>
    <m/>
    <m/>
    <m/>
    <m/>
    <m/>
    <m/>
    <m/>
    <m/>
    <m/>
    <m/>
    <m/>
    <m/>
  </r>
  <r>
    <x v="34"/>
    <x v="8"/>
    <m/>
    <m/>
    <m/>
    <m/>
    <m/>
    <m/>
    <m/>
    <m/>
    <m/>
    <m/>
    <m/>
    <m/>
    <m/>
    <m/>
    <m/>
    <m/>
    <m/>
  </r>
  <r>
    <x v="34"/>
    <x v="9"/>
    <m/>
    <m/>
    <m/>
    <m/>
    <m/>
    <m/>
    <m/>
    <m/>
    <m/>
    <m/>
    <m/>
    <m/>
    <m/>
    <m/>
    <m/>
    <m/>
    <m/>
  </r>
  <r>
    <x v="34"/>
    <x v="10"/>
    <m/>
    <m/>
    <m/>
    <m/>
    <m/>
    <m/>
    <m/>
    <m/>
    <m/>
    <m/>
    <m/>
    <m/>
    <m/>
    <m/>
    <m/>
    <m/>
    <m/>
  </r>
  <r>
    <x v="34"/>
    <x v="11"/>
    <m/>
    <m/>
    <m/>
    <m/>
    <m/>
    <m/>
    <m/>
    <m/>
    <m/>
    <m/>
    <m/>
    <m/>
    <m/>
    <m/>
    <m/>
    <m/>
    <m/>
  </r>
  <r>
    <x v="34"/>
    <x v="12"/>
    <m/>
    <m/>
    <m/>
    <m/>
    <m/>
    <m/>
    <m/>
    <m/>
    <m/>
    <m/>
    <m/>
    <m/>
    <m/>
    <m/>
    <m/>
    <m/>
    <m/>
  </r>
  <r>
    <x v="34"/>
    <x v="13"/>
    <m/>
    <m/>
    <m/>
    <m/>
    <m/>
    <m/>
    <m/>
    <m/>
    <m/>
    <m/>
    <m/>
    <m/>
    <m/>
    <m/>
    <m/>
    <m/>
    <m/>
  </r>
  <r>
    <x v="34"/>
    <x v="14"/>
    <m/>
    <m/>
    <m/>
    <m/>
    <m/>
    <m/>
    <m/>
    <m/>
    <m/>
    <m/>
    <m/>
    <m/>
    <m/>
    <m/>
    <m/>
    <m/>
    <m/>
  </r>
  <r>
    <x v="34"/>
    <x v="15"/>
    <m/>
    <m/>
    <m/>
    <m/>
    <m/>
    <m/>
    <m/>
    <m/>
    <m/>
    <m/>
    <m/>
    <m/>
    <m/>
    <m/>
    <m/>
    <m/>
    <m/>
  </r>
  <r>
    <x v="34"/>
    <x v="16"/>
    <m/>
    <m/>
    <m/>
    <m/>
    <m/>
    <m/>
    <m/>
    <m/>
    <m/>
    <m/>
    <m/>
    <m/>
    <m/>
    <m/>
    <m/>
    <m/>
    <m/>
  </r>
  <r>
    <x v="34"/>
    <x v="17"/>
    <m/>
    <m/>
    <m/>
    <m/>
    <m/>
    <m/>
    <m/>
    <m/>
    <m/>
    <m/>
    <m/>
    <m/>
    <m/>
    <m/>
    <m/>
    <m/>
    <m/>
  </r>
  <r>
    <x v="34"/>
    <x v="18"/>
    <m/>
    <m/>
    <m/>
    <m/>
    <m/>
    <m/>
    <m/>
    <m/>
    <m/>
    <m/>
    <m/>
    <m/>
    <m/>
    <m/>
    <m/>
    <m/>
    <m/>
  </r>
  <r>
    <x v="34"/>
    <x v="19"/>
    <m/>
    <m/>
    <m/>
    <m/>
    <m/>
    <m/>
    <m/>
    <m/>
    <m/>
    <m/>
    <m/>
    <m/>
    <m/>
    <m/>
    <m/>
    <m/>
    <m/>
  </r>
  <r>
    <x v="34"/>
    <x v="20"/>
    <m/>
    <m/>
    <m/>
    <m/>
    <m/>
    <m/>
    <m/>
    <m/>
    <m/>
    <m/>
    <m/>
    <m/>
    <m/>
    <m/>
    <m/>
    <m/>
    <m/>
  </r>
  <r>
    <x v="34"/>
    <x v="21"/>
    <m/>
    <m/>
    <m/>
    <m/>
    <m/>
    <m/>
    <m/>
    <m/>
    <m/>
    <m/>
    <m/>
    <m/>
    <m/>
    <m/>
    <m/>
    <m/>
    <m/>
  </r>
  <r>
    <x v="34"/>
    <x v="22"/>
    <m/>
    <m/>
    <m/>
    <m/>
    <m/>
    <m/>
    <m/>
    <m/>
    <m/>
    <m/>
    <m/>
    <m/>
    <m/>
    <m/>
    <m/>
    <m/>
    <m/>
  </r>
  <r>
    <x v="34"/>
    <x v="23"/>
    <m/>
    <m/>
    <m/>
    <m/>
    <m/>
    <m/>
    <m/>
    <m/>
    <m/>
    <m/>
    <m/>
    <m/>
    <m/>
    <m/>
    <m/>
    <m/>
    <m/>
  </r>
  <r>
    <x v="34"/>
    <x v="24"/>
    <m/>
    <m/>
    <m/>
    <m/>
    <m/>
    <m/>
    <m/>
    <m/>
    <m/>
    <m/>
    <m/>
    <m/>
    <m/>
    <m/>
    <m/>
    <m/>
    <m/>
  </r>
  <r>
    <x v="34"/>
    <x v="25"/>
    <m/>
    <m/>
    <m/>
    <m/>
    <m/>
    <m/>
    <m/>
    <m/>
    <m/>
    <m/>
    <m/>
    <m/>
    <m/>
    <m/>
    <m/>
    <m/>
    <m/>
  </r>
  <r>
    <x v="34"/>
    <x v="26"/>
    <m/>
    <m/>
    <m/>
    <m/>
    <m/>
    <m/>
    <m/>
    <m/>
    <m/>
    <m/>
    <m/>
    <m/>
    <m/>
    <m/>
    <m/>
    <m/>
    <m/>
  </r>
  <r>
    <x v="34"/>
    <x v="27"/>
    <m/>
    <m/>
    <m/>
    <m/>
    <m/>
    <m/>
    <m/>
    <m/>
    <m/>
    <m/>
    <m/>
    <m/>
    <m/>
    <m/>
    <m/>
    <m/>
    <m/>
  </r>
  <r>
    <x v="34"/>
    <x v="28"/>
    <m/>
    <m/>
    <m/>
    <m/>
    <m/>
    <m/>
    <m/>
    <m/>
    <m/>
    <m/>
    <m/>
    <m/>
    <m/>
    <m/>
    <m/>
    <m/>
    <m/>
  </r>
  <r>
    <x v="34"/>
    <x v="29"/>
    <m/>
    <m/>
    <m/>
    <m/>
    <m/>
    <m/>
    <m/>
    <m/>
    <m/>
    <m/>
    <m/>
    <m/>
    <m/>
    <m/>
    <m/>
    <m/>
    <m/>
  </r>
  <r>
    <x v="34"/>
    <x v="30"/>
    <m/>
    <m/>
    <m/>
    <m/>
    <m/>
    <m/>
    <m/>
    <m/>
    <m/>
    <m/>
    <m/>
    <m/>
    <m/>
    <m/>
    <m/>
    <m/>
    <m/>
  </r>
  <r>
    <x v="34"/>
    <x v="31"/>
    <m/>
    <m/>
    <m/>
    <m/>
    <m/>
    <m/>
    <m/>
    <m/>
    <m/>
    <m/>
    <m/>
    <m/>
    <m/>
    <m/>
    <m/>
    <m/>
    <m/>
  </r>
  <r>
    <x v="34"/>
    <x v="32"/>
    <m/>
    <m/>
    <m/>
    <m/>
    <m/>
    <m/>
    <m/>
    <m/>
    <m/>
    <m/>
    <m/>
    <m/>
    <m/>
    <m/>
    <m/>
    <m/>
    <m/>
  </r>
  <r>
    <x v="34"/>
    <x v="33"/>
    <m/>
    <m/>
    <m/>
    <m/>
    <m/>
    <m/>
    <m/>
    <m/>
    <m/>
    <m/>
    <m/>
    <m/>
    <m/>
    <m/>
    <m/>
    <m/>
    <m/>
  </r>
  <r>
    <x v="34"/>
    <x v="34"/>
    <m/>
    <m/>
    <m/>
    <m/>
    <m/>
    <m/>
    <m/>
    <m/>
    <m/>
    <m/>
    <m/>
    <m/>
    <m/>
    <m/>
    <m/>
    <m/>
    <m/>
  </r>
  <r>
    <x v="34"/>
    <x v="35"/>
    <m/>
    <m/>
    <m/>
    <m/>
    <m/>
    <m/>
    <m/>
    <m/>
    <m/>
    <m/>
    <m/>
    <m/>
    <m/>
    <m/>
    <m/>
    <m/>
    <m/>
  </r>
  <r>
    <x v="34"/>
    <x v="36"/>
    <m/>
    <m/>
    <m/>
    <m/>
    <m/>
    <m/>
    <m/>
    <m/>
    <m/>
    <m/>
    <m/>
    <m/>
    <m/>
    <m/>
    <m/>
    <m/>
    <m/>
  </r>
  <r>
    <x v="34"/>
    <x v="37"/>
    <m/>
    <m/>
    <m/>
    <m/>
    <m/>
    <m/>
    <m/>
    <m/>
    <m/>
    <m/>
    <m/>
    <m/>
    <m/>
    <m/>
    <m/>
    <m/>
    <m/>
  </r>
  <r>
    <x v="34"/>
    <x v="38"/>
    <m/>
    <m/>
    <m/>
    <m/>
    <m/>
    <m/>
    <m/>
    <m/>
    <m/>
    <m/>
    <m/>
    <m/>
    <m/>
    <m/>
    <m/>
    <m/>
    <m/>
  </r>
  <r>
    <x v="34"/>
    <x v="39"/>
    <m/>
    <m/>
    <m/>
    <m/>
    <m/>
    <m/>
    <m/>
    <m/>
    <m/>
    <m/>
    <m/>
    <m/>
    <m/>
    <m/>
    <m/>
    <m/>
    <m/>
  </r>
  <r>
    <x v="34"/>
    <x v="64"/>
    <n v="2"/>
    <m/>
    <m/>
    <m/>
    <m/>
    <m/>
    <m/>
    <m/>
    <m/>
    <m/>
    <m/>
    <n v="2"/>
    <m/>
    <n v="1"/>
    <m/>
    <m/>
    <m/>
  </r>
  <r>
    <x v="34"/>
    <x v="40"/>
    <m/>
    <m/>
    <m/>
    <m/>
    <m/>
    <m/>
    <m/>
    <m/>
    <m/>
    <m/>
    <m/>
    <m/>
    <m/>
    <m/>
    <m/>
    <m/>
    <m/>
  </r>
  <r>
    <x v="34"/>
    <x v="41"/>
    <m/>
    <m/>
    <m/>
    <m/>
    <m/>
    <m/>
    <m/>
    <m/>
    <m/>
    <m/>
    <m/>
    <m/>
    <m/>
    <m/>
    <m/>
    <m/>
    <m/>
  </r>
  <r>
    <x v="34"/>
    <x v="42"/>
    <m/>
    <m/>
    <m/>
    <m/>
    <m/>
    <m/>
    <m/>
    <m/>
    <m/>
    <m/>
    <m/>
    <m/>
    <m/>
    <m/>
    <m/>
    <m/>
    <m/>
  </r>
  <r>
    <x v="34"/>
    <x v="43"/>
    <m/>
    <m/>
    <m/>
    <m/>
    <m/>
    <m/>
    <m/>
    <m/>
    <m/>
    <m/>
    <m/>
    <m/>
    <m/>
    <m/>
    <m/>
    <m/>
    <m/>
  </r>
  <r>
    <x v="34"/>
    <x v="44"/>
    <m/>
    <m/>
    <m/>
    <m/>
    <m/>
    <m/>
    <m/>
    <m/>
    <m/>
    <m/>
    <m/>
    <m/>
    <m/>
    <m/>
    <m/>
    <m/>
    <m/>
  </r>
  <r>
    <x v="34"/>
    <x v="45"/>
    <m/>
    <m/>
    <m/>
    <m/>
    <m/>
    <m/>
    <m/>
    <m/>
    <m/>
    <m/>
    <m/>
    <m/>
    <m/>
    <m/>
    <m/>
    <m/>
    <m/>
  </r>
  <r>
    <x v="34"/>
    <x v="46"/>
    <m/>
    <m/>
    <m/>
    <m/>
    <m/>
    <m/>
    <m/>
    <m/>
    <m/>
    <m/>
    <m/>
    <m/>
    <m/>
    <m/>
    <m/>
    <m/>
    <m/>
  </r>
  <r>
    <x v="34"/>
    <x v="47"/>
    <m/>
    <m/>
    <m/>
    <m/>
    <m/>
    <m/>
    <m/>
    <m/>
    <m/>
    <m/>
    <m/>
    <m/>
    <m/>
    <m/>
    <m/>
    <m/>
    <m/>
  </r>
  <r>
    <x v="34"/>
    <x v="48"/>
    <m/>
    <m/>
    <m/>
    <m/>
    <m/>
    <m/>
    <m/>
    <m/>
    <m/>
    <m/>
    <m/>
    <m/>
    <m/>
    <m/>
    <m/>
    <m/>
    <m/>
  </r>
  <r>
    <x v="34"/>
    <x v="75"/>
    <n v="1"/>
    <n v="2"/>
    <m/>
    <m/>
    <m/>
    <m/>
    <m/>
    <m/>
    <m/>
    <m/>
    <m/>
    <n v="2"/>
    <m/>
    <n v="2"/>
    <m/>
    <m/>
    <m/>
  </r>
  <r>
    <x v="34"/>
    <x v="50"/>
    <m/>
    <m/>
    <m/>
    <m/>
    <m/>
    <m/>
    <m/>
    <m/>
    <m/>
    <m/>
    <m/>
    <m/>
    <m/>
    <m/>
    <m/>
    <m/>
    <m/>
  </r>
  <r>
    <x v="34"/>
    <x v="51"/>
    <m/>
    <m/>
    <m/>
    <m/>
    <m/>
    <m/>
    <m/>
    <m/>
    <m/>
    <m/>
    <m/>
    <m/>
    <m/>
    <m/>
    <m/>
    <m/>
    <m/>
  </r>
  <r>
    <x v="35"/>
    <x v="0"/>
    <m/>
    <m/>
    <m/>
    <m/>
    <m/>
    <m/>
    <m/>
    <m/>
    <m/>
    <m/>
    <m/>
    <m/>
    <m/>
    <m/>
    <m/>
    <m/>
    <m/>
  </r>
  <r>
    <x v="35"/>
    <x v="1"/>
    <m/>
    <m/>
    <m/>
    <m/>
    <m/>
    <m/>
    <m/>
    <m/>
    <m/>
    <m/>
    <m/>
    <m/>
    <m/>
    <m/>
    <m/>
    <m/>
    <m/>
  </r>
  <r>
    <x v="35"/>
    <x v="2"/>
    <m/>
    <m/>
    <m/>
    <m/>
    <m/>
    <m/>
    <m/>
    <m/>
    <m/>
    <m/>
    <m/>
    <m/>
    <m/>
    <m/>
    <m/>
    <m/>
    <m/>
  </r>
  <r>
    <x v="35"/>
    <x v="3"/>
    <m/>
    <m/>
    <m/>
    <m/>
    <m/>
    <m/>
    <m/>
    <m/>
    <m/>
    <m/>
    <m/>
    <m/>
    <m/>
    <m/>
    <m/>
    <m/>
    <m/>
  </r>
  <r>
    <x v="35"/>
    <x v="4"/>
    <m/>
    <m/>
    <m/>
    <m/>
    <m/>
    <m/>
    <m/>
    <m/>
    <m/>
    <m/>
    <m/>
    <m/>
    <m/>
    <m/>
    <m/>
    <m/>
    <m/>
  </r>
  <r>
    <x v="35"/>
    <x v="5"/>
    <m/>
    <m/>
    <m/>
    <m/>
    <m/>
    <m/>
    <m/>
    <m/>
    <m/>
    <m/>
    <m/>
    <m/>
    <m/>
    <m/>
    <m/>
    <m/>
    <m/>
  </r>
  <r>
    <x v="35"/>
    <x v="6"/>
    <m/>
    <m/>
    <m/>
    <m/>
    <m/>
    <m/>
    <m/>
    <m/>
    <m/>
    <m/>
    <m/>
    <m/>
    <m/>
    <m/>
    <m/>
    <m/>
    <m/>
  </r>
  <r>
    <x v="35"/>
    <x v="7"/>
    <m/>
    <m/>
    <m/>
    <m/>
    <m/>
    <m/>
    <m/>
    <m/>
    <m/>
    <m/>
    <m/>
    <m/>
    <m/>
    <m/>
    <m/>
    <m/>
    <m/>
  </r>
  <r>
    <x v="35"/>
    <x v="8"/>
    <m/>
    <m/>
    <m/>
    <m/>
    <m/>
    <m/>
    <m/>
    <m/>
    <m/>
    <m/>
    <m/>
    <m/>
    <m/>
    <m/>
    <m/>
    <m/>
    <m/>
  </r>
  <r>
    <x v="35"/>
    <x v="9"/>
    <m/>
    <m/>
    <m/>
    <m/>
    <m/>
    <m/>
    <m/>
    <m/>
    <m/>
    <m/>
    <m/>
    <m/>
    <m/>
    <m/>
    <m/>
    <m/>
    <m/>
  </r>
  <r>
    <x v="35"/>
    <x v="10"/>
    <m/>
    <m/>
    <m/>
    <m/>
    <m/>
    <m/>
    <m/>
    <m/>
    <m/>
    <m/>
    <m/>
    <m/>
    <m/>
    <m/>
    <m/>
    <m/>
    <m/>
  </r>
  <r>
    <x v="35"/>
    <x v="11"/>
    <m/>
    <m/>
    <m/>
    <m/>
    <m/>
    <m/>
    <m/>
    <m/>
    <m/>
    <m/>
    <m/>
    <m/>
    <m/>
    <m/>
    <m/>
    <m/>
    <m/>
  </r>
  <r>
    <x v="35"/>
    <x v="12"/>
    <m/>
    <m/>
    <m/>
    <m/>
    <m/>
    <m/>
    <m/>
    <m/>
    <m/>
    <m/>
    <m/>
    <m/>
    <m/>
    <m/>
    <m/>
    <m/>
    <m/>
  </r>
  <r>
    <x v="35"/>
    <x v="13"/>
    <m/>
    <m/>
    <m/>
    <m/>
    <m/>
    <m/>
    <m/>
    <m/>
    <m/>
    <m/>
    <m/>
    <m/>
    <m/>
    <m/>
    <m/>
    <m/>
    <m/>
  </r>
  <r>
    <x v="35"/>
    <x v="14"/>
    <m/>
    <m/>
    <m/>
    <m/>
    <m/>
    <m/>
    <m/>
    <m/>
    <m/>
    <m/>
    <m/>
    <m/>
    <m/>
    <m/>
    <m/>
    <m/>
    <m/>
  </r>
  <r>
    <x v="35"/>
    <x v="15"/>
    <m/>
    <m/>
    <m/>
    <m/>
    <m/>
    <m/>
    <m/>
    <m/>
    <m/>
    <m/>
    <m/>
    <m/>
    <m/>
    <m/>
    <m/>
    <m/>
    <m/>
  </r>
  <r>
    <x v="35"/>
    <x v="16"/>
    <m/>
    <m/>
    <m/>
    <m/>
    <m/>
    <m/>
    <m/>
    <m/>
    <m/>
    <m/>
    <m/>
    <m/>
    <m/>
    <m/>
    <m/>
    <m/>
    <m/>
  </r>
  <r>
    <x v="35"/>
    <x v="17"/>
    <m/>
    <m/>
    <m/>
    <m/>
    <m/>
    <m/>
    <m/>
    <m/>
    <m/>
    <m/>
    <m/>
    <m/>
    <m/>
    <m/>
    <m/>
    <m/>
    <m/>
  </r>
  <r>
    <x v="35"/>
    <x v="18"/>
    <m/>
    <m/>
    <m/>
    <m/>
    <m/>
    <m/>
    <m/>
    <m/>
    <m/>
    <m/>
    <m/>
    <m/>
    <m/>
    <m/>
    <m/>
    <m/>
    <m/>
  </r>
  <r>
    <x v="35"/>
    <x v="19"/>
    <m/>
    <m/>
    <m/>
    <m/>
    <m/>
    <m/>
    <m/>
    <m/>
    <m/>
    <m/>
    <m/>
    <m/>
    <m/>
    <m/>
    <m/>
    <m/>
    <m/>
  </r>
  <r>
    <x v="35"/>
    <x v="20"/>
    <m/>
    <m/>
    <m/>
    <m/>
    <m/>
    <m/>
    <m/>
    <m/>
    <m/>
    <m/>
    <m/>
    <m/>
    <m/>
    <m/>
    <m/>
    <m/>
    <m/>
  </r>
  <r>
    <x v="35"/>
    <x v="21"/>
    <m/>
    <m/>
    <m/>
    <m/>
    <m/>
    <m/>
    <m/>
    <m/>
    <m/>
    <m/>
    <m/>
    <m/>
    <m/>
    <m/>
    <m/>
    <m/>
    <m/>
  </r>
  <r>
    <x v="35"/>
    <x v="22"/>
    <m/>
    <m/>
    <m/>
    <m/>
    <m/>
    <m/>
    <m/>
    <m/>
    <m/>
    <m/>
    <m/>
    <m/>
    <m/>
    <m/>
    <m/>
    <m/>
    <m/>
  </r>
  <r>
    <x v="35"/>
    <x v="23"/>
    <m/>
    <m/>
    <m/>
    <m/>
    <m/>
    <m/>
    <m/>
    <m/>
    <m/>
    <m/>
    <m/>
    <m/>
    <m/>
    <m/>
    <m/>
    <m/>
    <m/>
  </r>
  <r>
    <x v="35"/>
    <x v="24"/>
    <m/>
    <m/>
    <m/>
    <m/>
    <m/>
    <m/>
    <m/>
    <m/>
    <m/>
    <m/>
    <m/>
    <m/>
    <m/>
    <m/>
    <m/>
    <m/>
    <m/>
  </r>
  <r>
    <x v="35"/>
    <x v="25"/>
    <m/>
    <m/>
    <m/>
    <m/>
    <m/>
    <m/>
    <m/>
    <m/>
    <m/>
    <m/>
    <m/>
    <m/>
    <m/>
    <m/>
    <m/>
    <m/>
    <m/>
  </r>
  <r>
    <x v="35"/>
    <x v="26"/>
    <m/>
    <m/>
    <m/>
    <m/>
    <m/>
    <m/>
    <m/>
    <m/>
    <m/>
    <m/>
    <m/>
    <m/>
    <m/>
    <m/>
    <m/>
    <m/>
    <m/>
  </r>
  <r>
    <x v="35"/>
    <x v="27"/>
    <m/>
    <m/>
    <m/>
    <m/>
    <m/>
    <m/>
    <m/>
    <m/>
    <m/>
    <m/>
    <m/>
    <m/>
    <m/>
    <m/>
    <m/>
    <m/>
    <m/>
  </r>
  <r>
    <x v="35"/>
    <x v="28"/>
    <m/>
    <m/>
    <m/>
    <m/>
    <m/>
    <m/>
    <m/>
    <m/>
    <m/>
    <m/>
    <n v="3"/>
    <n v="2"/>
    <n v="3"/>
    <n v="2"/>
    <n v="2"/>
    <n v="3"/>
    <m/>
  </r>
  <r>
    <x v="35"/>
    <x v="29"/>
    <m/>
    <m/>
    <m/>
    <m/>
    <m/>
    <m/>
    <m/>
    <m/>
    <m/>
    <m/>
    <m/>
    <m/>
    <m/>
    <m/>
    <m/>
    <m/>
    <m/>
  </r>
  <r>
    <x v="35"/>
    <x v="30"/>
    <m/>
    <m/>
    <m/>
    <m/>
    <m/>
    <m/>
    <m/>
    <m/>
    <m/>
    <m/>
    <m/>
    <m/>
    <m/>
    <m/>
    <m/>
    <m/>
    <m/>
  </r>
  <r>
    <x v="35"/>
    <x v="31"/>
    <m/>
    <m/>
    <m/>
    <m/>
    <m/>
    <m/>
    <m/>
    <m/>
    <m/>
    <m/>
    <m/>
    <m/>
    <m/>
    <m/>
    <m/>
    <m/>
    <m/>
  </r>
  <r>
    <x v="35"/>
    <x v="32"/>
    <m/>
    <m/>
    <m/>
    <m/>
    <m/>
    <m/>
    <m/>
    <m/>
    <m/>
    <m/>
    <m/>
    <m/>
    <m/>
    <m/>
    <m/>
    <m/>
    <m/>
  </r>
  <r>
    <x v="35"/>
    <x v="33"/>
    <m/>
    <m/>
    <m/>
    <m/>
    <m/>
    <m/>
    <m/>
    <m/>
    <m/>
    <m/>
    <m/>
    <m/>
    <m/>
    <m/>
    <m/>
    <m/>
    <m/>
  </r>
  <r>
    <x v="35"/>
    <x v="34"/>
    <m/>
    <m/>
    <m/>
    <m/>
    <m/>
    <m/>
    <m/>
    <m/>
    <m/>
    <m/>
    <m/>
    <m/>
    <m/>
    <m/>
    <m/>
    <m/>
    <m/>
  </r>
  <r>
    <x v="35"/>
    <x v="35"/>
    <m/>
    <m/>
    <m/>
    <m/>
    <m/>
    <m/>
    <m/>
    <m/>
    <m/>
    <m/>
    <m/>
    <m/>
    <m/>
    <m/>
    <m/>
    <m/>
    <m/>
  </r>
  <r>
    <x v="35"/>
    <x v="36"/>
    <m/>
    <m/>
    <m/>
    <m/>
    <m/>
    <m/>
    <m/>
    <m/>
    <m/>
    <m/>
    <m/>
    <m/>
    <m/>
    <m/>
    <m/>
    <m/>
    <m/>
  </r>
  <r>
    <x v="35"/>
    <x v="37"/>
    <m/>
    <m/>
    <m/>
    <m/>
    <m/>
    <m/>
    <m/>
    <m/>
    <m/>
    <m/>
    <m/>
    <m/>
    <m/>
    <m/>
    <m/>
    <m/>
    <m/>
  </r>
  <r>
    <x v="35"/>
    <x v="38"/>
    <m/>
    <m/>
    <m/>
    <m/>
    <m/>
    <m/>
    <m/>
    <m/>
    <m/>
    <m/>
    <m/>
    <m/>
    <m/>
    <m/>
    <m/>
    <m/>
    <m/>
  </r>
  <r>
    <x v="35"/>
    <x v="39"/>
    <m/>
    <m/>
    <m/>
    <m/>
    <m/>
    <m/>
    <m/>
    <m/>
    <m/>
    <m/>
    <m/>
    <m/>
    <m/>
    <m/>
    <m/>
    <m/>
    <m/>
  </r>
  <r>
    <x v="35"/>
    <x v="40"/>
    <m/>
    <m/>
    <m/>
    <m/>
    <m/>
    <m/>
    <m/>
    <m/>
    <m/>
    <m/>
    <m/>
    <m/>
    <m/>
    <m/>
    <m/>
    <m/>
    <m/>
  </r>
  <r>
    <x v="35"/>
    <x v="41"/>
    <m/>
    <m/>
    <m/>
    <m/>
    <m/>
    <m/>
    <m/>
    <m/>
    <m/>
    <m/>
    <m/>
    <m/>
    <m/>
    <m/>
    <m/>
    <m/>
    <m/>
  </r>
  <r>
    <x v="35"/>
    <x v="42"/>
    <m/>
    <m/>
    <m/>
    <m/>
    <m/>
    <m/>
    <m/>
    <m/>
    <m/>
    <m/>
    <m/>
    <m/>
    <m/>
    <m/>
    <m/>
    <m/>
    <m/>
  </r>
  <r>
    <x v="35"/>
    <x v="43"/>
    <m/>
    <m/>
    <m/>
    <m/>
    <m/>
    <m/>
    <m/>
    <m/>
    <m/>
    <m/>
    <m/>
    <m/>
    <m/>
    <m/>
    <m/>
    <m/>
    <m/>
  </r>
  <r>
    <x v="35"/>
    <x v="44"/>
    <m/>
    <m/>
    <m/>
    <m/>
    <m/>
    <m/>
    <m/>
    <m/>
    <m/>
    <m/>
    <m/>
    <m/>
    <m/>
    <m/>
    <m/>
    <m/>
    <m/>
  </r>
  <r>
    <x v="35"/>
    <x v="45"/>
    <m/>
    <m/>
    <m/>
    <m/>
    <m/>
    <m/>
    <m/>
    <m/>
    <m/>
    <m/>
    <m/>
    <m/>
    <m/>
    <m/>
    <m/>
    <m/>
    <m/>
  </r>
  <r>
    <x v="35"/>
    <x v="46"/>
    <m/>
    <m/>
    <m/>
    <m/>
    <m/>
    <m/>
    <m/>
    <m/>
    <m/>
    <m/>
    <m/>
    <m/>
    <m/>
    <m/>
    <m/>
    <m/>
    <m/>
  </r>
  <r>
    <x v="35"/>
    <x v="47"/>
    <m/>
    <m/>
    <m/>
    <m/>
    <m/>
    <m/>
    <m/>
    <m/>
    <m/>
    <m/>
    <m/>
    <m/>
    <m/>
    <m/>
    <m/>
    <m/>
    <m/>
  </r>
  <r>
    <x v="35"/>
    <x v="48"/>
    <m/>
    <m/>
    <m/>
    <m/>
    <m/>
    <m/>
    <m/>
    <m/>
    <m/>
    <m/>
    <m/>
    <m/>
    <m/>
    <m/>
    <m/>
    <m/>
    <m/>
  </r>
  <r>
    <x v="35"/>
    <x v="49"/>
    <m/>
    <m/>
    <m/>
    <m/>
    <m/>
    <m/>
    <m/>
    <m/>
    <m/>
    <m/>
    <m/>
    <m/>
    <m/>
    <m/>
    <m/>
    <m/>
    <m/>
  </r>
  <r>
    <x v="35"/>
    <x v="50"/>
    <m/>
    <m/>
    <m/>
    <m/>
    <m/>
    <m/>
    <m/>
    <m/>
    <m/>
    <m/>
    <m/>
    <m/>
    <m/>
    <m/>
    <m/>
    <m/>
    <m/>
  </r>
  <r>
    <x v="35"/>
    <x v="51"/>
    <m/>
    <m/>
    <m/>
    <m/>
    <m/>
    <m/>
    <m/>
    <m/>
    <m/>
    <m/>
    <m/>
    <m/>
    <m/>
    <m/>
    <m/>
    <m/>
    <m/>
  </r>
  <r>
    <x v="36"/>
    <x v="0"/>
    <m/>
    <m/>
    <m/>
    <m/>
    <m/>
    <m/>
    <m/>
    <m/>
    <m/>
    <m/>
    <m/>
    <m/>
    <m/>
    <m/>
    <m/>
    <m/>
    <m/>
  </r>
  <r>
    <x v="36"/>
    <x v="1"/>
    <m/>
    <m/>
    <m/>
    <m/>
    <m/>
    <m/>
    <m/>
    <m/>
    <m/>
    <m/>
    <m/>
    <m/>
    <m/>
    <m/>
    <m/>
    <m/>
    <m/>
  </r>
  <r>
    <x v="36"/>
    <x v="2"/>
    <m/>
    <m/>
    <m/>
    <m/>
    <m/>
    <m/>
    <m/>
    <m/>
    <m/>
    <m/>
    <m/>
    <m/>
    <m/>
    <m/>
    <m/>
    <m/>
    <m/>
  </r>
  <r>
    <x v="36"/>
    <x v="3"/>
    <m/>
    <m/>
    <m/>
    <m/>
    <m/>
    <m/>
    <m/>
    <m/>
    <m/>
    <m/>
    <m/>
    <m/>
    <m/>
    <m/>
    <m/>
    <m/>
    <m/>
  </r>
  <r>
    <x v="36"/>
    <x v="4"/>
    <m/>
    <m/>
    <m/>
    <m/>
    <m/>
    <m/>
    <m/>
    <m/>
    <m/>
    <m/>
    <m/>
    <m/>
    <m/>
    <m/>
    <m/>
    <m/>
    <m/>
  </r>
  <r>
    <x v="36"/>
    <x v="5"/>
    <m/>
    <m/>
    <m/>
    <m/>
    <m/>
    <m/>
    <m/>
    <m/>
    <m/>
    <m/>
    <m/>
    <m/>
    <m/>
    <m/>
    <m/>
    <m/>
    <m/>
  </r>
  <r>
    <x v="36"/>
    <x v="6"/>
    <m/>
    <m/>
    <m/>
    <m/>
    <m/>
    <m/>
    <m/>
    <m/>
    <m/>
    <m/>
    <m/>
    <m/>
    <m/>
    <m/>
    <m/>
    <m/>
    <m/>
  </r>
  <r>
    <x v="36"/>
    <x v="7"/>
    <m/>
    <m/>
    <m/>
    <m/>
    <m/>
    <m/>
    <m/>
    <m/>
    <m/>
    <m/>
    <m/>
    <m/>
    <m/>
    <m/>
    <m/>
    <m/>
    <m/>
  </r>
  <r>
    <x v="36"/>
    <x v="8"/>
    <m/>
    <m/>
    <m/>
    <m/>
    <m/>
    <m/>
    <m/>
    <m/>
    <m/>
    <m/>
    <m/>
    <m/>
    <m/>
    <m/>
    <m/>
    <m/>
    <m/>
  </r>
  <r>
    <x v="36"/>
    <x v="9"/>
    <m/>
    <m/>
    <m/>
    <m/>
    <m/>
    <m/>
    <m/>
    <m/>
    <m/>
    <m/>
    <m/>
    <m/>
    <m/>
    <m/>
    <m/>
    <m/>
    <m/>
  </r>
  <r>
    <x v="36"/>
    <x v="10"/>
    <m/>
    <m/>
    <m/>
    <m/>
    <m/>
    <m/>
    <m/>
    <m/>
    <m/>
    <m/>
    <m/>
    <m/>
    <m/>
    <m/>
    <m/>
    <m/>
    <m/>
  </r>
  <r>
    <x v="36"/>
    <x v="11"/>
    <m/>
    <m/>
    <m/>
    <m/>
    <m/>
    <m/>
    <m/>
    <m/>
    <m/>
    <m/>
    <m/>
    <m/>
    <m/>
    <m/>
    <m/>
    <m/>
    <m/>
  </r>
  <r>
    <x v="36"/>
    <x v="12"/>
    <m/>
    <m/>
    <m/>
    <m/>
    <m/>
    <m/>
    <m/>
    <m/>
    <m/>
    <m/>
    <m/>
    <m/>
    <m/>
    <m/>
    <m/>
    <m/>
    <m/>
  </r>
  <r>
    <x v="36"/>
    <x v="13"/>
    <m/>
    <m/>
    <m/>
    <m/>
    <m/>
    <m/>
    <m/>
    <m/>
    <m/>
    <m/>
    <m/>
    <m/>
    <m/>
    <m/>
    <m/>
    <m/>
    <m/>
  </r>
  <r>
    <x v="36"/>
    <x v="14"/>
    <m/>
    <m/>
    <m/>
    <m/>
    <m/>
    <m/>
    <m/>
    <m/>
    <m/>
    <m/>
    <m/>
    <m/>
    <m/>
    <m/>
    <m/>
    <m/>
    <m/>
  </r>
  <r>
    <x v="36"/>
    <x v="15"/>
    <m/>
    <m/>
    <m/>
    <m/>
    <m/>
    <m/>
    <m/>
    <m/>
    <m/>
    <m/>
    <m/>
    <m/>
    <m/>
    <m/>
    <m/>
    <m/>
    <m/>
  </r>
  <r>
    <x v="36"/>
    <x v="16"/>
    <m/>
    <m/>
    <m/>
    <m/>
    <m/>
    <m/>
    <m/>
    <m/>
    <m/>
    <m/>
    <m/>
    <m/>
    <m/>
    <m/>
    <m/>
    <m/>
    <m/>
  </r>
  <r>
    <x v="36"/>
    <x v="17"/>
    <m/>
    <m/>
    <m/>
    <m/>
    <m/>
    <m/>
    <m/>
    <m/>
    <m/>
    <m/>
    <m/>
    <m/>
    <m/>
    <m/>
    <m/>
    <m/>
    <m/>
  </r>
  <r>
    <x v="36"/>
    <x v="18"/>
    <m/>
    <m/>
    <m/>
    <m/>
    <m/>
    <m/>
    <m/>
    <m/>
    <m/>
    <m/>
    <m/>
    <m/>
    <m/>
    <m/>
    <m/>
    <m/>
    <m/>
  </r>
  <r>
    <x v="36"/>
    <x v="19"/>
    <m/>
    <m/>
    <m/>
    <m/>
    <m/>
    <m/>
    <m/>
    <m/>
    <m/>
    <m/>
    <m/>
    <m/>
    <m/>
    <m/>
    <m/>
    <m/>
    <m/>
  </r>
  <r>
    <x v="36"/>
    <x v="20"/>
    <m/>
    <m/>
    <m/>
    <m/>
    <m/>
    <m/>
    <m/>
    <m/>
    <m/>
    <m/>
    <m/>
    <m/>
    <m/>
    <m/>
    <m/>
    <m/>
    <m/>
  </r>
  <r>
    <x v="36"/>
    <x v="21"/>
    <m/>
    <m/>
    <m/>
    <m/>
    <m/>
    <m/>
    <m/>
    <m/>
    <m/>
    <m/>
    <m/>
    <m/>
    <m/>
    <m/>
    <m/>
    <m/>
    <m/>
  </r>
  <r>
    <x v="36"/>
    <x v="22"/>
    <m/>
    <m/>
    <m/>
    <m/>
    <m/>
    <m/>
    <m/>
    <m/>
    <m/>
    <m/>
    <m/>
    <m/>
    <m/>
    <m/>
    <m/>
    <m/>
    <m/>
  </r>
  <r>
    <x v="36"/>
    <x v="23"/>
    <m/>
    <m/>
    <m/>
    <m/>
    <m/>
    <m/>
    <m/>
    <m/>
    <m/>
    <m/>
    <m/>
    <m/>
    <m/>
    <m/>
    <m/>
    <m/>
    <m/>
  </r>
  <r>
    <x v="36"/>
    <x v="24"/>
    <m/>
    <m/>
    <m/>
    <m/>
    <m/>
    <m/>
    <m/>
    <m/>
    <m/>
    <m/>
    <m/>
    <m/>
    <m/>
    <m/>
    <m/>
    <m/>
    <m/>
  </r>
  <r>
    <x v="36"/>
    <x v="25"/>
    <m/>
    <m/>
    <m/>
    <m/>
    <m/>
    <m/>
    <m/>
    <m/>
    <m/>
    <m/>
    <m/>
    <m/>
    <m/>
    <m/>
    <m/>
    <m/>
    <m/>
  </r>
  <r>
    <x v="36"/>
    <x v="26"/>
    <m/>
    <m/>
    <m/>
    <m/>
    <m/>
    <m/>
    <m/>
    <m/>
    <m/>
    <m/>
    <m/>
    <m/>
    <m/>
    <m/>
    <m/>
    <m/>
    <m/>
  </r>
  <r>
    <x v="36"/>
    <x v="27"/>
    <m/>
    <m/>
    <m/>
    <m/>
    <m/>
    <m/>
    <m/>
    <m/>
    <m/>
    <m/>
    <m/>
    <m/>
    <m/>
    <m/>
    <m/>
    <m/>
    <m/>
  </r>
  <r>
    <x v="36"/>
    <x v="28"/>
    <m/>
    <m/>
    <m/>
    <m/>
    <m/>
    <m/>
    <m/>
    <m/>
    <m/>
    <m/>
    <m/>
    <m/>
    <m/>
    <m/>
    <m/>
    <m/>
    <m/>
  </r>
  <r>
    <x v="36"/>
    <x v="29"/>
    <m/>
    <m/>
    <m/>
    <m/>
    <m/>
    <m/>
    <m/>
    <m/>
    <m/>
    <m/>
    <m/>
    <m/>
    <m/>
    <m/>
    <m/>
    <m/>
    <m/>
  </r>
  <r>
    <x v="36"/>
    <x v="30"/>
    <m/>
    <m/>
    <m/>
    <m/>
    <m/>
    <m/>
    <m/>
    <m/>
    <m/>
    <m/>
    <m/>
    <m/>
    <m/>
    <m/>
    <m/>
    <m/>
    <m/>
  </r>
  <r>
    <x v="36"/>
    <x v="31"/>
    <m/>
    <m/>
    <m/>
    <m/>
    <m/>
    <m/>
    <m/>
    <m/>
    <m/>
    <m/>
    <m/>
    <m/>
    <m/>
    <m/>
    <m/>
    <m/>
    <m/>
  </r>
  <r>
    <x v="36"/>
    <x v="32"/>
    <m/>
    <m/>
    <m/>
    <m/>
    <m/>
    <m/>
    <m/>
    <m/>
    <m/>
    <m/>
    <m/>
    <m/>
    <m/>
    <m/>
    <m/>
    <m/>
    <m/>
  </r>
  <r>
    <x v="36"/>
    <x v="33"/>
    <m/>
    <m/>
    <m/>
    <m/>
    <m/>
    <m/>
    <m/>
    <m/>
    <m/>
    <m/>
    <m/>
    <m/>
    <m/>
    <m/>
    <m/>
    <m/>
    <m/>
  </r>
  <r>
    <x v="36"/>
    <x v="34"/>
    <m/>
    <m/>
    <m/>
    <m/>
    <m/>
    <m/>
    <m/>
    <m/>
    <m/>
    <m/>
    <m/>
    <m/>
    <m/>
    <m/>
    <m/>
    <m/>
    <m/>
  </r>
  <r>
    <x v="36"/>
    <x v="35"/>
    <m/>
    <m/>
    <m/>
    <m/>
    <m/>
    <m/>
    <m/>
    <m/>
    <m/>
    <m/>
    <m/>
    <m/>
    <m/>
    <m/>
    <m/>
    <m/>
    <m/>
  </r>
  <r>
    <x v="36"/>
    <x v="36"/>
    <m/>
    <m/>
    <m/>
    <m/>
    <m/>
    <m/>
    <m/>
    <m/>
    <m/>
    <m/>
    <m/>
    <m/>
    <m/>
    <m/>
    <m/>
    <m/>
    <m/>
  </r>
  <r>
    <x v="36"/>
    <x v="37"/>
    <m/>
    <m/>
    <m/>
    <m/>
    <m/>
    <m/>
    <m/>
    <m/>
    <m/>
    <m/>
    <m/>
    <m/>
    <m/>
    <m/>
    <m/>
    <m/>
    <m/>
  </r>
  <r>
    <x v="36"/>
    <x v="38"/>
    <m/>
    <m/>
    <m/>
    <m/>
    <m/>
    <m/>
    <m/>
    <m/>
    <m/>
    <m/>
    <m/>
    <m/>
    <m/>
    <m/>
    <m/>
    <m/>
    <m/>
  </r>
  <r>
    <x v="36"/>
    <x v="39"/>
    <m/>
    <m/>
    <m/>
    <m/>
    <m/>
    <m/>
    <m/>
    <m/>
    <m/>
    <m/>
    <m/>
    <m/>
    <m/>
    <m/>
    <m/>
    <n v="1"/>
    <m/>
  </r>
  <r>
    <x v="36"/>
    <x v="40"/>
    <m/>
    <m/>
    <m/>
    <m/>
    <m/>
    <m/>
    <m/>
    <m/>
    <m/>
    <m/>
    <m/>
    <m/>
    <m/>
    <m/>
    <m/>
    <m/>
    <m/>
  </r>
  <r>
    <x v="36"/>
    <x v="41"/>
    <m/>
    <m/>
    <m/>
    <m/>
    <m/>
    <m/>
    <m/>
    <m/>
    <m/>
    <m/>
    <m/>
    <m/>
    <m/>
    <m/>
    <m/>
    <m/>
    <m/>
  </r>
  <r>
    <x v="36"/>
    <x v="42"/>
    <m/>
    <m/>
    <m/>
    <m/>
    <m/>
    <m/>
    <m/>
    <m/>
    <m/>
    <m/>
    <m/>
    <m/>
    <m/>
    <m/>
    <m/>
    <m/>
    <m/>
  </r>
  <r>
    <x v="36"/>
    <x v="43"/>
    <m/>
    <m/>
    <m/>
    <m/>
    <m/>
    <m/>
    <m/>
    <m/>
    <m/>
    <m/>
    <m/>
    <m/>
    <m/>
    <m/>
    <m/>
    <m/>
    <m/>
  </r>
  <r>
    <x v="36"/>
    <x v="44"/>
    <m/>
    <m/>
    <m/>
    <m/>
    <m/>
    <m/>
    <m/>
    <m/>
    <m/>
    <m/>
    <m/>
    <m/>
    <m/>
    <m/>
    <m/>
    <m/>
    <m/>
  </r>
  <r>
    <x v="36"/>
    <x v="45"/>
    <m/>
    <m/>
    <m/>
    <m/>
    <m/>
    <m/>
    <m/>
    <m/>
    <m/>
    <m/>
    <m/>
    <m/>
    <m/>
    <m/>
    <m/>
    <m/>
    <m/>
  </r>
  <r>
    <x v="36"/>
    <x v="46"/>
    <m/>
    <m/>
    <m/>
    <m/>
    <m/>
    <m/>
    <m/>
    <m/>
    <m/>
    <m/>
    <m/>
    <m/>
    <m/>
    <m/>
    <m/>
    <m/>
    <m/>
  </r>
  <r>
    <x v="36"/>
    <x v="47"/>
    <m/>
    <m/>
    <m/>
    <m/>
    <m/>
    <m/>
    <m/>
    <m/>
    <m/>
    <m/>
    <m/>
    <m/>
    <m/>
    <m/>
    <m/>
    <m/>
    <m/>
  </r>
  <r>
    <x v="36"/>
    <x v="48"/>
    <m/>
    <m/>
    <m/>
    <m/>
    <m/>
    <m/>
    <m/>
    <m/>
    <m/>
    <m/>
    <m/>
    <m/>
    <m/>
    <m/>
    <m/>
    <m/>
    <m/>
  </r>
  <r>
    <x v="36"/>
    <x v="49"/>
    <m/>
    <m/>
    <m/>
    <m/>
    <m/>
    <m/>
    <m/>
    <m/>
    <m/>
    <m/>
    <m/>
    <m/>
    <m/>
    <m/>
    <m/>
    <m/>
    <m/>
  </r>
  <r>
    <x v="36"/>
    <x v="50"/>
    <m/>
    <m/>
    <m/>
    <m/>
    <m/>
    <m/>
    <m/>
    <m/>
    <m/>
    <m/>
    <m/>
    <m/>
    <m/>
    <m/>
    <m/>
    <m/>
    <m/>
  </r>
  <r>
    <x v="36"/>
    <x v="51"/>
    <m/>
    <m/>
    <m/>
    <m/>
    <m/>
    <m/>
    <m/>
    <m/>
    <m/>
    <m/>
    <m/>
    <m/>
    <m/>
    <m/>
    <m/>
    <m/>
    <m/>
  </r>
  <r>
    <x v="37"/>
    <x v="0"/>
    <m/>
    <m/>
    <m/>
    <m/>
    <m/>
    <m/>
    <m/>
    <m/>
    <m/>
    <m/>
    <m/>
    <m/>
    <m/>
    <m/>
    <m/>
    <m/>
    <m/>
  </r>
  <r>
    <x v="37"/>
    <x v="1"/>
    <m/>
    <m/>
    <m/>
    <m/>
    <m/>
    <m/>
    <m/>
    <m/>
    <m/>
    <m/>
    <m/>
    <m/>
    <m/>
    <m/>
    <m/>
    <m/>
    <m/>
  </r>
  <r>
    <x v="37"/>
    <x v="2"/>
    <m/>
    <m/>
    <m/>
    <m/>
    <m/>
    <m/>
    <m/>
    <m/>
    <m/>
    <m/>
    <m/>
    <m/>
    <m/>
    <m/>
    <m/>
    <m/>
    <m/>
  </r>
  <r>
    <x v="37"/>
    <x v="3"/>
    <m/>
    <m/>
    <m/>
    <m/>
    <m/>
    <m/>
    <m/>
    <m/>
    <m/>
    <m/>
    <m/>
    <m/>
    <m/>
    <m/>
    <m/>
    <m/>
    <m/>
  </r>
  <r>
    <x v="37"/>
    <x v="4"/>
    <m/>
    <m/>
    <m/>
    <m/>
    <m/>
    <m/>
    <m/>
    <m/>
    <m/>
    <m/>
    <m/>
    <m/>
    <m/>
    <m/>
    <m/>
    <m/>
    <m/>
  </r>
  <r>
    <x v="37"/>
    <x v="5"/>
    <m/>
    <m/>
    <m/>
    <m/>
    <m/>
    <m/>
    <m/>
    <m/>
    <m/>
    <m/>
    <m/>
    <m/>
    <m/>
    <m/>
    <m/>
    <m/>
    <m/>
  </r>
  <r>
    <x v="37"/>
    <x v="6"/>
    <m/>
    <m/>
    <m/>
    <m/>
    <m/>
    <m/>
    <m/>
    <m/>
    <m/>
    <m/>
    <m/>
    <m/>
    <m/>
    <m/>
    <m/>
    <m/>
    <m/>
  </r>
  <r>
    <x v="37"/>
    <x v="7"/>
    <m/>
    <m/>
    <m/>
    <m/>
    <m/>
    <m/>
    <m/>
    <m/>
    <m/>
    <m/>
    <m/>
    <m/>
    <m/>
    <m/>
    <m/>
    <m/>
    <m/>
  </r>
  <r>
    <x v="37"/>
    <x v="8"/>
    <m/>
    <m/>
    <m/>
    <m/>
    <m/>
    <m/>
    <m/>
    <m/>
    <m/>
    <m/>
    <m/>
    <m/>
    <m/>
    <m/>
    <m/>
    <m/>
    <m/>
  </r>
  <r>
    <x v="37"/>
    <x v="9"/>
    <m/>
    <m/>
    <m/>
    <m/>
    <m/>
    <m/>
    <m/>
    <m/>
    <m/>
    <m/>
    <m/>
    <m/>
    <m/>
    <m/>
    <m/>
    <m/>
    <m/>
  </r>
  <r>
    <x v="37"/>
    <x v="10"/>
    <m/>
    <m/>
    <m/>
    <m/>
    <m/>
    <m/>
    <m/>
    <m/>
    <m/>
    <m/>
    <m/>
    <m/>
    <m/>
    <m/>
    <m/>
    <m/>
    <m/>
  </r>
  <r>
    <x v="37"/>
    <x v="11"/>
    <m/>
    <m/>
    <m/>
    <m/>
    <m/>
    <m/>
    <m/>
    <m/>
    <m/>
    <m/>
    <m/>
    <m/>
    <m/>
    <m/>
    <m/>
    <m/>
    <m/>
  </r>
  <r>
    <x v="37"/>
    <x v="12"/>
    <m/>
    <m/>
    <m/>
    <m/>
    <m/>
    <m/>
    <m/>
    <m/>
    <m/>
    <m/>
    <m/>
    <m/>
    <m/>
    <m/>
    <m/>
    <m/>
    <m/>
  </r>
  <r>
    <x v="37"/>
    <x v="13"/>
    <m/>
    <m/>
    <m/>
    <m/>
    <m/>
    <m/>
    <m/>
    <m/>
    <m/>
    <m/>
    <m/>
    <m/>
    <m/>
    <m/>
    <m/>
    <m/>
    <m/>
  </r>
  <r>
    <x v="37"/>
    <x v="14"/>
    <m/>
    <m/>
    <m/>
    <m/>
    <m/>
    <m/>
    <m/>
    <m/>
    <m/>
    <m/>
    <m/>
    <m/>
    <m/>
    <m/>
    <m/>
    <m/>
    <m/>
  </r>
  <r>
    <x v="37"/>
    <x v="15"/>
    <m/>
    <m/>
    <m/>
    <m/>
    <m/>
    <m/>
    <m/>
    <m/>
    <m/>
    <m/>
    <m/>
    <m/>
    <m/>
    <m/>
    <m/>
    <m/>
    <m/>
  </r>
  <r>
    <x v="37"/>
    <x v="16"/>
    <m/>
    <m/>
    <m/>
    <m/>
    <m/>
    <m/>
    <m/>
    <m/>
    <m/>
    <m/>
    <m/>
    <m/>
    <m/>
    <m/>
    <m/>
    <m/>
    <m/>
  </r>
  <r>
    <x v="37"/>
    <x v="17"/>
    <m/>
    <m/>
    <m/>
    <m/>
    <m/>
    <m/>
    <m/>
    <m/>
    <m/>
    <m/>
    <m/>
    <m/>
    <m/>
    <m/>
    <m/>
    <m/>
    <m/>
  </r>
  <r>
    <x v="37"/>
    <x v="18"/>
    <m/>
    <m/>
    <m/>
    <m/>
    <m/>
    <m/>
    <m/>
    <m/>
    <m/>
    <m/>
    <m/>
    <m/>
    <m/>
    <m/>
    <m/>
    <m/>
    <m/>
  </r>
  <r>
    <x v="37"/>
    <x v="19"/>
    <m/>
    <m/>
    <m/>
    <m/>
    <m/>
    <m/>
    <m/>
    <m/>
    <m/>
    <m/>
    <m/>
    <m/>
    <m/>
    <m/>
    <m/>
    <m/>
    <m/>
  </r>
  <r>
    <x v="37"/>
    <x v="20"/>
    <m/>
    <m/>
    <m/>
    <m/>
    <m/>
    <m/>
    <m/>
    <m/>
    <m/>
    <m/>
    <m/>
    <m/>
    <m/>
    <m/>
    <m/>
    <m/>
    <m/>
  </r>
  <r>
    <x v="37"/>
    <x v="21"/>
    <m/>
    <m/>
    <m/>
    <m/>
    <m/>
    <m/>
    <m/>
    <m/>
    <m/>
    <m/>
    <m/>
    <m/>
    <m/>
    <m/>
    <m/>
    <m/>
    <m/>
  </r>
  <r>
    <x v="37"/>
    <x v="22"/>
    <m/>
    <m/>
    <m/>
    <m/>
    <m/>
    <m/>
    <m/>
    <m/>
    <m/>
    <m/>
    <m/>
    <m/>
    <m/>
    <m/>
    <m/>
    <m/>
    <m/>
  </r>
  <r>
    <x v="37"/>
    <x v="23"/>
    <m/>
    <m/>
    <m/>
    <m/>
    <m/>
    <m/>
    <m/>
    <m/>
    <m/>
    <m/>
    <m/>
    <m/>
    <m/>
    <m/>
    <m/>
    <m/>
    <m/>
  </r>
  <r>
    <x v="37"/>
    <x v="24"/>
    <m/>
    <m/>
    <m/>
    <m/>
    <m/>
    <m/>
    <m/>
    <m/>
    <m/>
    <m/>
    <m/>
    <m/>
    <m/>
    <m/>
    <m/>
    <m/>
    <m/>
  </r>
  <r>
    <x v="37"/>
    <x v="25"/>
    <m/>
    <m/>
    <m/>
    <m/>
    <m/>
    <m/>
    <m/>
    <m/>
    <m/>
    <m/>
    <m/>
    <m/>
    <m/>
    <m/>
    <m/>
    <m/>
    <m/>
  </r>
  <r>
    <x v="37"/>
    <x v="26"/>
    <m/>
    <m/>
    <m/>
    <m/>
    <m/>
    <m/>
    <m/>
    <m/>
    <m/>
    <m/>
    <m/>
    <m/>
    <m/>
    <m/>
    <m/>
    <m/>
    <m/>
  </r>
  <r>
    <x v="37"/>
    <x v="27"/>
    <m/>
    <m/>
    <m/>
    <m/>
    <m/>
    <m/>
    <m/>
    <m/>
    <m/>
    <m/>
    <m/>
    <m/>
    <m/>
    <m/>
    <m/>
    <m/>
    <m/>
  </r>
  <r>
    <x v="37"/>
    <x v="28"/>
    <m/>
    <m/>
    <m/>
    <m/>
    <m/>
    <m/>
    <m/>
    <m/>
    <m/>
    <m/>
    <m/>
    <m/>
    <m/>
    <m/>
    <m/>
    <m/>
    <m/>
  </r>
  <r>
    <x v="37"/>
    <x v="29"/>
    <m/>
    <m/>
    <m/>
    <m/>
    <m/>
    <m/>
    <m/>
    <m/>
    <m/>
    <m/>
    <m/>
    <m/>
    <m/>
    <m/>
    <m/>
    <m/>
    <m/>
  </r>
  <r>
    <x v="37"/>
    <x v="30"/>
    <m/>
    <m/>
    <m/>
    <m/>
    <m/>
    <m/>
    <m/>
    <m/>
    <m/>
    <m/>
    <m/>
    <m/>
    <m/>
    <m/>
    <m/>
    <m/>
    <m/>
  </r>
  <r>
    <x v="37"/>
    <x v="31"/>
    <m/>
    <m/>
    <m/>
    <m/>
    <m/>
    <m/>
    <m/>
    <m/>
    <m/>
    <m/>
    <m/>
    <m/>
    <m/>
    <m/>
    <m/>
    <m/>
    <m/>
  </r>
  <r>
    <x v="37"/>
    <x v="32"/>
    <m/>
    <m/>
    <m/>
    <m/>
    <m/>
    <m/>
    <m/>
    <m/>
    <m/>
    <m/>
    <m/>
    <m/>
    <m/>
    <m/>
    <m/>
    <m/>
    <m/>
  </r>
  <r>
    <x v="37"/>
    <x v="33"/>
    <m/>
    <m/>
    <m/>
    <m/>
    <m/>
    <m/>
    <m/>
    <m/>
    <m/>
    <m/>
    <m/>
    <m/>
    <m/>
    <m/>
    <m/>
    <m/>
    <m/>
  </r>
  <r>
    <x v="37"/>
    <x v="34"/>
    <m/>
    <m/>
    <m/>
    <m/>
    <m/>
    <m/>
    <m/>
    <m/>
    <m/>
    <m/>
    <m/>
    <m/>
    <m/>
    <m/>
    <m/>
    <m/>
    <m/>
  </r>
  <r>
    <x v="37"/>
    <x v="35"/>
    <m/>
    <m/>
    <m/>
    <m/>
    <m/>
    <m/>
    <m/>
    <m/>
    <m/>
    <m/>
    <m/>
    <m/>
    <m/>
    <m/>
    <m/>
    <m/>
    <m/>
  </r>
  <r>
    <x v="37"/>
    <x v="36"/>
    <m/>
    <m/>
    <m/>
    <m/>
    <m/>
    <m/>
    <m/>
    <m/>
    <m/>
    <m/>
    <m/>
    <m/>
    <m/>
    <m/>
    <m/>
    <m/>
    <m/>
  </r>
  <r>
    <x v="37"/>
    <x v="37"/>
    <m/>
    <m/>
    <m/>
    <m/>
    <m/>
    <m/>
    <m/>
    <m/>
    <m/>
    <m/>
    <m/>
    <m/>
    <m/>
    <m/>
    <m/>
    <m/>
    <m/>
  </r>
  <r>
    <x v="37"/>
    <x v="38"/>
    <m/>
    <m/>
    <m/>
    <m/>
    <m/>
    <m/>
    <m/>
    <m/>
    <m/>
    <m/>
    <m/>
    <m/>
    <m/>
    <m/>
    <m/>
    <m/>
    <m/>
  </r>
  <r>
    <x v="37"/>
    <x v="39"/>
    <m/>
    <m/>
    <m/>
    <m/>
    <m/>
    <m/>
    <m/>
    <m/>
    <m/>
    <m/>
    <m/>
    <m/>
    <m/>
    <m/>
    <m/>
    <m/>
    <m/>
  </r>
  <r>
    <x v="37"/>
    <x v="40"/>
    <m/>
    <m/>
    <m/>
    <m/>
    <m/>
    <m/>
    <m/>
    <m/>
    <m/>
    <m/>
    <m/>
    <m/>
    <m/>
    <m/>
    <m/>
    <m/>
    <m/>
  </r>
  <r>
    <x v="37"/>
    <x v="41"/>
    <m/>
    <m/>
    <m/>
    <m/>
    <m/>
    <m/>
    <m/>
    <m/>
    <m/>
    <m/>
    <m/>
    <m/>
    <m/>
    <m/>
    <m/>
    <m/>
    <m/>
  </r>
  <r>
    <x v="37"/>
    <x v="42"/>
    <m/>
    <m/>
    <m/>
    <m/>
    <m/>
    <m/>
    <m/>
    <m/>
    <m/>
    <m/>
    <m/>
    <m/>
    <m/>
    <m/>
    <m/>
    <m/>
    <m/>
  </r>
  <r>
    <x v="37"/>
    <x v="43"/>
    <m/>
    <m/>
    <m/>
    <m/>
    <m/>
    <m/>
    <m/>
    <m/>
    <m/>
    <m/>
    <m/>
    <m/>
    <m/>
    <m/>
    <m/>
    <m/>
    <m/>
  </r>
  <r>
    <x v="37"/>
    <x v="44"/>
    <m/>
    <m/>
    <m/>
    <m/>
    <m/>
    <m/>
    <m/>
    <m/>
    <m/>
    <m/>
    <m/>
    <m/>
    <m/>
    <m/>
    <m/>
    <m/>
    <m/>
  </r>
  <r>
    <x v="37"/>
    <x v="45"/>
    <m/>
    <m/>
    <m/>
    <m/>
    <m/>
    <m/>
    <m/>
    <m/>
    <m/>
    <m/>
    <m/>
    <m/>
    <m/>
    <m/>
    <m/>
    <m/>
    <m/>
  </r>
  <r>
    <x v="37"/>
    <x v="46"/>
    <m/>
    <m/>
    <m/>
    <m/>
    <m/>
    <m/>
    <m/>
    <m/>
    <m/>
    <m/>
    <m/>
    <m/>
    <m/>
    <m/>
    <m/>
    <m/>
    <m/>
  </r>
  <r>
    <x v="37"/>
    <x v="47"/>
    <m/>
    <m/>
    <m/>
    <m/>
    <m/>
    <m/>
    <m/>
    <m/>
    <m/>
    <m/>
    <m/>
    <m/>
    <m/>
    <m/>
    <m/>
    <m/>
    <m/>
  </r>
  <r>
    <x v="37"/>
    <x v="48"/>
    <m/>
    <m/>
    <m/>
    <m/>
    <m/>
    <m/>
    <m/>
    <m/>
    <m/>
    <m/>
    <m/>
    <m/>
    <m/>
    <m/>
    <m/>
    <m/>
    <m/>
  </r>
  <r>
    <x v="37"/>
    <x v="49"/>
    <m/>
    <m/>
    <m/>
    <m/>
    <m/>
    <m/>
    <m/>
    <m/>
    <m/>
    <m/>
    <m/>
    <m/>
    <m/>
    <m/>
    <m/>
    <m/>
    <m/>
  </r>
  <r>
    <x v="37"/>
    <x v="50"/>
    <m/>
    <m/>
    <m/>
    <m/>
    <m/>
    <m/>
    <m/>
    <m/>
    <m/>
    <m/>
    <m/>
    <m/>
    <m/>
    <m/>
    <m/>
    <m/>
    <m/>
  </r>
  <r>
    <x v="37"/>
    <x v="51"/>
    <m/>
    <m/>
    <m/>
    <m/>
    <m/>
    <m/>
    <m/>
    <m/>
    <m/>
    <m/>
    <m/>
    <m/>
    <m/>
    <m/>
    <m/>
    <m/>
    <m/>
  </r>
  <r>
    <x v="38"/>
    <x v="0"/>
    <m/>
    <m/>
    <m/>
    <m/>
    <m/>
    <m/>
    <m/>
    <m/>
    <m/>
    <m/>
    <m/>
    <m/>
    <m/>
    <m/>
    <m/>
    <m/>
    <m/>
  </r>
  <r>
    <x v="38"/>
    <x v="1"/>
    <m/>
    <m/>
    <m/>
    <m/>
    <m/>
    <m/>
    <m/>
    <n v="15"/>
    <n v="1"/>
    <m/>
    <m/>
    <m/>
    <n v="4"/>
    <n v="3"/>
    <n v="2"/>
    <m/>
    <m/>
  </r>
  <r>
    <x v="38"/>
    <x v="2"/>
    <m/>
    <m/>
    <m/>
    <m/>
    <m/>
    <m/>
    <m/>
    <n v="8"/>
    <n v="1"/>
    <m/>
    <m/>
    <m/>
    <m/>
    <m/>
    <m/>
    <m/>
    <m/>
  </r>
  <r>
    <x v="38"/>
    <x v="3"/>
    <n v="4"/>
    <n v="2"/>
    <n v="3"/>
    <n v="2"/>
    <n v="4"/>
    <n v="2"/>
    <n v="12"/>
    <n v="10"/>
    <n v="10"/>
    <n v="5"/>
    <n v="7"/>
    <n v="12"/>
    <m/>
    <n v="14"/>
    <n v="2"/>
    <m/>
    <m/>
  </r>
  <r>
    <x v="38"/>
    <x v="4"/>
    <n v="3"/>
    <n v="1"/>
    <n v="2"/>
    <n v="1"/>
    <n v="3"/>
    <n v="1"/>
    <n v="40"/>
    <n v="44"/>
    <n v="14"/>
    <n v="9"/>
    <n v="10"/>
    <n v="17"/>
    <n v="13"/>
    <n v="30"/>
    <n v="13"/>
    <m/>
    <m/>
  </r>
  <r>
    <x v="38"/>
    <x v="5"/>
    <m/>
    <m/>
    <m/>
    <m/>
    <m/>
    <m/>
    <m/>
    <m/>
    <m/>
    <m/>
    <m/>
    <m/>
    <m/>
    <m/>
    <m/>
    <m/>
    <m/>
  </r>
  <r>
    <x v="38"/>
    <x v="6"/>
    <m/>
    <m/>
    <m/>
    <m/>
    <m/>
    <m/>
    <m/>
    <m/>
    <m/>
    <m/>
    <m/>
    <m/>
    <m/>
    <m/>
    <m/>
    <m/>
    <m/>
  </r>
  <r>
    <x v="38"/>
    <x v="7"/>
    <m/>
    <m/>
    <m/>
    <m/>
    <m/>
    <m/>
    <m/>
    <m/>
    <m/>
    <m/>
    <m/>
    <m/>
    <m/>
    <m/>
    <m/>
    <m/>
    <m/>
  </r>
  <r>
    <x v="38"/>
    <x v="8"/>
    <m/>
    <m/>
    <m/>
    <m/>
    <m/>
    <m/>
    <n v="40"/>
    <m/>
    <m/>
    <m/>
    <m/>
    <m/>
    <m/>
    <n v="50"/>
    <n v="6"/>
    <m/>
    <m/>
  </r>
  <r>
    <x v="38"/>
    <x v="9"/>
    <m/>
    <m/>
    <m/>
    <m/>
    <m/>
    <m/>
    <n v="2"/>
    <m/>
    <m/>
    <m/>
    <n v="2"/>
    <n v="2"/>
    <n v="2"/>
    <m/>
    <n v="2"/>
    <n v="2"/>
    <m/>
  </r>
  <r>
    <x v="38"/>
    <x v="10"/>
    <m/>
    <m/>
    <m/>
    <m/>
    <m/>
    <m/>
    <m/>
    <m/>
    <m/>
    <m/>
    <m/>
    <m/>
    <m/>
    <m/>
    <m/>
    <m/>
    <m/>
  </r>
  <r>
    <x v="38"/>
    <x v="11"/>
    <m/>
    <m/>
    <m/>
    <m/>
    <m/>
    <m/>
    <n v="1"/>
    <m/>
    <m/>
    <m/>
    <m/>
    <m/>
    <n v="1"/>
    <m/>
    <m/>
    <m/>
    <m/>
  </r>
  <r>
    <x v="38"/>
    <x v="12"/>
    <m/>
    <m/>
    <m/>
    <m/>
    <m/>
    <m/>
    <n v="25"/>
    <n v="12"/>
    <m/>
    <m/>
    <m/>
    <n v="12"/>
    <m/>
    <n v="30"/>
    <m/>
    <m/>
    <m/>
  </r>
  <r>
    <x v="38"/>
    <x v="13"/>
    <m/>
    <m/>
    <m/>
    <m/>
    <m/>
    <m/>
    <m/>
    <m/>
    <m/>
    <m/>
    <m/>
    <m/>
    <m/>
    <m/>
    <m/>
    <m/>
    <m/>
  </r>
  <r>
    <x v="38"/>
    <x v="14"/>
    <m/>
    <m/>
    <m/>
    <m/>
    <m/>
    <m/>
    <m/>
    <m/>
    <m/>
    <m/>
    <m/>
    <m/>
    <m/>
    <m/>
    <m/>
    <m/>
    <m/>
  </r>
  <r>
    <x v="38"/>
    <x v="15"/>
    <m/>
    <m/>
    <m/>
    <m/>
    <m/>
    <m/>
    <n v="8"/>
    <n v="4"/>
    <m/>
    <n v="6"/>
    <m/>
    <m/>
    <n v="2"/>
    <n v="10"/>
    <n v="2"/>
    <m/>
    <m/>
  </r>
  <r>
    <x v="38"/>
    <x v="16"/>
    <m/>
    <m/>
    <m/>
    <m/>
    <m/>
    <m/>
    <m/>
    <m/>
    <m/>
    <m/>
    <m/>
    <m/>
    <m/>
    <m/>
    <m/>
    <m/>
    <m/>
  </r>
  <r>
    <x v="38"/>
    <x v="17"/>
    <m/>
    <m/>
    <m/>
    <m/>
    <m/>
    <m/>
    <m/>
    <m/>
    <m/>
    <m/>
    <m/>
    <m/>
    <m/>
    <m/>
    <m/>
    <m/>
    <m/>
  </r>
  <r>
    <x v="38"/>
    <x v="18"/>
    <m/>
    <m/>
    <m/>
    <m/>
    <m/>
    <m/>
    <m/>
    <m/>
    <m/>
    <m/>
    <m/>
    <m/>
    <m/>
    <m/>
    <m/>
    <m/>
    <m/>
  </r>
  <r>
    <x v="38"/>
    <x v="19"/>
    <m/>
    <m/>
    <m/>
    <m/>
    <m/>
    <m/>
    <m/>
    <m/>
    <m/>
    <m/>
    <m/>
    <m/>
    <m/>
    <m/>
    <m/>
    <m/>
    <m/>
  </r>
  <r>
    <x v="38"/>
    <x v="20"/>
    <m/>
    <m/>
    <m/>
    <m/>
    <m/>
    <m/>
    <m/>
    <m/>
    <m/>
    <m/>
    <m/>
    <m/>
    <m/>
    <m/>
    <m/>
    <m/>
    <m/>
  </r>
  <r>
    <x v="38"/>
    <x v="21"/>
    <m/>
    <m/>
    <m/>
    <m/>
    <m/>
    <m/>
    <m/>
    <m/>
    <m/>
    <m/>
    <m/>
    <m/>
    <m/>
    <m/>
    <m/>
    <m/>
    <m/>
  </r>
  <r>
    <x v="38"/>
    <x v="22"/>
    <m/>
    <m/>
    <m/>
    <m/>
    <m/>
    <m/>
    <m/>
    <m/>
    <m/>
    <m/>
    <m/>
    <m/>
    <m/>
    <m/>
    <m/>
    <m/>
    <m/>
  </r>
  <r>
    <x v="38"/>
    <x v="23"/>
    <m/>
    <m/>
    <m/>
    <m/>
    <m/>
    <m/>
    <m/>
    <m/>
    <m/>
    <m/>
    <m/>
    <m/>
    <m/>
    <m/>
    <m/>
    <m/>
    <m/>
  </r>
  <r>
    <x v="38"/>
    <x v="24"/>
    <m/>
    <m/>
    <m/>
    <m/>
    <m/>
    <m/>
    <n v="1"/>
    <m/>
    <m/>
    <m/>
    <n v="1"/>
    <n v="1"/>
    <n v="1"/>
    <m/>
    <n v="1"/>
    <n v="1"/>
    <m/>
  </r>
  <r>
    <x v="38"/>
    <x v="25"/>
    <m/>
    <m/>
    <m/>
    <m/>
    <m/>
    <m/>
    <n v="30"/>
    <m/>
    <m/>
    <m/>
    <n v="18"/>
    <m/>
    <m/>
    <n v="23"/>
    <n v="6"/>
    <m/>
    <m/>
  </r>
  <r>
    <x v="38"/>
    <x v="26"/>
    <m/>
    <m/>
    <m/>
    <m/>
    <m/>
    <m/>
    <m/>
    <m/>
    <m/>
    <m/>
    <m/>
    <m/>
    <m/>
    <m/>
    <m/>
    <m/>
    <m/>
  </r>
  <r>
    <x v="38"/>
    <x v="27"/>
    <m/>
    <m/>
    <m/>
    <m/>
    <m/>
    <m/>
    <m/>
    <m/>
    <m/>
    <m/>
    <m/>
    <m/>
    <m/>
    <m/>
    <m/>
    <m/>
    <m/>
  </r>
  <r>
    <x v="38"/>
    <x v="28"/>
    <m/>
    <m/>
    <m/>
    <m/>
    <m/>
    <m/>
    <m/>
    <m/>
    <m/>
    <m/>
    <m/>
    <m/>
    <m/>
    <m/>
    <m/>
    <m/>
    <m/>
  </r>
  <r>
    <x v="38"/>
    <x v="29"/>
    <m/>
    <m/>
    <m/>
    <m/>
    <m/>
    <m/>
    <m/>
    <m/>
    <m/>
    <m/>
    <m/>
    <m/>
    <m/>
    <m/>
    <m/>
    <m/>
    <m/>
  </r>
  <r>
    <x v="38"/>
    <x v="30"/>
    <m/>
    <m/>
    <m/>
    <m/>
    <m/>
    <m/>
    <m/>
    <m/>
    <m/>
    <m/>
    <m/>
    <m/>
    <m/>
    <m/>
    <m/>
    <m/>
    <m/>
  </r>
  <r>
    <x v="38"/>
    <x v="31"/>
    <m/>
    <m/>
    <m/>
    <m/>
    <m/>
    <m/>
    <n v="5"/>
    <m/>
    <m/>
    <m/>
    <m/>
    <m/>
    <m/>
    <m/>
    <m/>
    <m/>
    <m/>
  </r>
  <r>
    <x v="38"/>
    <x v="32"/>
    <m/>
    <m/>
    <m/>
    <m/>
    <m/>
    <m/>
    <n v="1"/>
    <m/>
    <m/>
    <m/>
    <m/>
    <m/>
    <n v="1"/>
    <m/>
    <m/>
    <m/>
    <m/>
  </r>
  <r>
    <x v="38"/>
    <x v="33"/>
    <m/>
    <m/>
    <m/>
    <m/>
    <m/>
    <m/>
    <m/>
    <m/>
    <m/>
    <m/>
    <m/>
    <m/>
    <m/>
    <m/>
    <m/>
    <m/>
    <m/>
  </r>
  <r>
    <x v="38"/>
    <x v="34"/>
    <m/>
    <m/>
    <m/>
    <m/>
    <m/>
    <m/>
    <n v="3"/>
    <m/>
    <m/>
    <m/>
    <m/>
    <m/>
    <n v="3"/>
    <m/>
    <m/>
    <m/>
    <m/>
  </r>
  <r>
    <x v="38"/>
    <x v="35"/>
    <n v="4"/>
    <n v="6"/>
    <n v="3"/>
    <n v="5"/>
    <n v="4"/>
    <n v="6"/>
    <n v="30"/>
    <n v="14"/>
    <m/>
    <n v="4"/>
    <n v="6"/>
    <n v="18"/>
    <m/>
    <n v="30"/>
    <n v="4"/>
    <n v="8"/>
    <m/>
  </r>
  <r>
    <x v="38"/>
    <x v="36"/>
    <m/>
    <m/>
    <m/>
    <m/>
    <m/>
    <m/>
    <n v="4"/>
    <m/>
    <m/>
    <m/>
    <n v="4"/>
    <n v="4"/>
    <n v="4"/>
    <n v="1"/>
    <n v="4"/>
    <n v="4"/>
    <m/>
  </r>
  <r>
    <x v="38"/>
    <x v="37"/>
    <m/>
    <m/>
    <m/>
    <m/>
    <m/>
    <m/>
    <m/>
    <m/>
    <m/>
    <m/>
    <m/>
    <m/>
    <m/>
    <m/>
    <m/>
    <m/>
    <m/>
  </r>
  <r>
    <x v="38"/>
    <x v="38"/>
    <m/>
    <m/>
    <m/>
    <m/>
    <m/>
    <m/>
    <m/>
    <m/>
    <m/>
    <m/>
    <m/>
    <m/>
    <m/>
    <m/>
    <m/>
    <m/>
    <m/>
  </r>
  <r>
    <x v="38"/>
    <x v="39"/>
    <m/>
    <m/>
    <m/>
    <m/>
    <m/>
    <m/>
    <m/>
    <m/>
    <m/>
    <m/>
    <m/>
    <m/>
    <m/>
    <m/>
    <m/>
    <m/>
    <m/>
  </r>
  <r>
    <x v="38"/>
    <x v="40"/>
    <m/>
    <m/>
    <m/>
    <m/>
    <m/>
    <m/>
    <m/>
    <m/>
    <m/>
    <m/>
    <m/>
    <m/>
    <m/>
    <m/>
    <m/>
    <m/>
    <m/>
  </r>
  <r>
    <x v="38"/>
    <x v="41"/>
    <m/>
    <m/>
    <m/>
    <m/>
    <m/>
    <m/>
    <m/>
    <m/>
    <m/>
    <m/>
    <m/>
    <m/>
    <m/>
    <m/>
    <m/>
    <m/>
    <m/>
  </r>
  <r>
    <x v="38"/>
    <x v="42"/>
    <n v="35"/>
    <n v="30"/>
    <n v="15"/>
    <n v="15"/>
    <n v="15"/>
    <n v="15"/>
    <n v="160"/>
    <n v="20"/>
    <m/>
    <n v="30"/>
    <n v="30"/>
    <n v="30"/>
    <m/>
    <n v="100"/>
    <m/>
    <m/>
    <m/>
  </r>
  <r>
    <x v="38"/>
    <x v="43"/>
    <m/>
    <m/>
    <m/>
    <m/>
    <m/>
    <m/>
    <n v="1"/>
    <m/>
    <m/>
    <m/>
    <m/>
    <m/>
    <n v="1"/>
    <m/>
    <m/>
    <m/>
    <m/>
  </r>
  <r>
    <x v="38"/>
    <x v="44"/>
    <m/>
    <m/>
    <m/>
    <m/>
    <m/>
    <m/>
    <n v="20"/>
    <n v="10"/>
    <m/>
    <m/>
    <n v="10"/>
    <n v="10"/>
    <m/>
    <n v="20"/>
    <m/>
    <m/>
    <m/>
  </r>
  <r>
    <x v="38"/>
    <x v="45"/>
    <m/>
    <m/>
    <m/>
    <m/>
    <m/>
    <m/>
    <m/>
    <m/>
    <m/>
    <m/>
    <m/>
    <m/>
    <m/>
    <m/>
    <m/>
    <m/>
    <m/>
  </r>
  <r>
    <x v="38"/>
    <x v="46"/>
    <m/>
    <m/>
    <m/>
    <m/>
    <m/>
    <m/>
    <m/>
    <m/>
    <m/>
    <m/>
    <m/>
    <m/>
    <m/>
    <m/>
    <m/>
    <n v="2"/>
    <m/>
  </r>
  <r>
    <x v="38"/>
    <x v="47"/>
    <m/>
    <m/>
    <m/>
    <m/>
    <m/>
    <m/>
    <m/>
    <m/>
    <m/>
    <m/>
    <m/>
    <m/>
    <m/>
    <m/>
    <m/>
    <m/>
    <m/>
  </r>
  <r>
    <x v="38"/>
    <x v="48"/>
    <m/>
    <m/>
    <m/>
    <m/>
    <m/>
    <m/>
    <m/>
    <m/>
    <m/>
    <m/>
    <m/>
    <m/>
    <m/>
    <m/>
    <m/>
    <m/>
    <m/>
  </r>
  <r>
    <x v="38"/>
    <x v="49"/>
    <m/>
    <m/>
    <m/>
    <m/>
    <m/>
    <m/>
    <m/>
    <m/>
    <m/>
    <m/>
    <m/>
    <m/>
    <m/>
    <m/>
    <m/>
    <m/>
    <m/>
  </r>
  <r>
    <x v="38"/>
    <x v="50"/>
    <m/>
    <m/>
    <m/>
    <m/>
    <m/>
    <m/>
    <n v="1"/>
    <m/>
    <m/>
    <m/>
    <m/>
    <m/>
    <n v="1"/>
    <m/>
    <m/>
    <m/>
    <m/>
  </r>
  <r>
    <x v="38"/>
    <x v="51"/>
    <n v="4"/>
    <n v="4"/>
    <n v="4"/>
    <m/>
    <m/>
    <m/>
    <n v="45"/>
    <n v="10"/>
    <m/>
    <m/>
    <m/>
    <n v="14"/>
    <n v="4"/>
    <n v="34"/>
    <n v="2"/>
    <n v="4"/>
    <m/>
  </r>
  <r>
    <x v="39"/>
    <x v="0"/>
    <m/>
    <m/>
    <m/>
    <m/>
    <m/>
    <m/>
    <n v="1"/>
    <m/>
    <m/>
    <m/>
    <m/>
    <m/>
    <m/>
    <m/>
    <n v="1"/>
    <m/>
    <m/>
  </r>
  <r>
    <x v="39"/>
    <x v="1"/>
    <m/>
    <m/>
    <m/>
    <m/>
    <m/>
    <m/>
    <m/>
    <m/>
    <m/>
    <m/>
    <m/>
    <m/>
    <m/>
    <m/>
    <m/>
    <m/>
    <m/>
  </r>
  <r>
    <x v="39"/>
    <x v="2"/>
    <m/>
    <m/>
    <m/>
    <m/>
    <m/>
    <m/>
    <m/>
    <m/>
    <m/>
    <m/>
    <m/>
    <m/>
    <m/>
    <m/>
    <m/>
    <m/>
    <m/>
  </r>
  <r>
    <x v="39"/>
    <x v="3"/>
    <m/>
    <m/>
    <m/>
    <m/>
    <m/>
    <m/>
    <m/>
    <n v="1"/>
    <n v="1"/>
    <m/>
    <n v="1"/>
    <n v="2"/>
    <n v="2"/>
    <n v="1"/>
    <n v="2"/>
    <n v="3"/>
    <m/>
  </r>
  <r>
    <x v="39"/>
    <x v="4"/>
    <m/>
    <m/>
    <m/>
    <m/>
    <m/>
    <m/>
    <m/>
    <n v="1"/>
    <n v="2"/>
    <m/>
    <n v="1"/>
    <n v="1"/>
    <n v="2"/>
    <n v="0"/>
    <n v="2"/>
    <n v="2"/>
    <m/>
  </r>
  <r>
    <x v="39"/>
    <x v="5"/>
    <m/>
    <m/>
    <m/>
    <m/>
    <m/>
    <m/>
    <m/>
    <m/>
    <m/>
    <m/>
    <m/>
    <m/>
    <m/>
    <m/>
    <m/>
    <m/>
    <m/>
  </r>
  <r>
    <x v="39"/>
    <x v="6"/>
    <m/>
    <m/>
    <m/>
    <m/>
    <m/>
    <m/>
    <m/>
    <m/>
    <m/>
    <m/>
    <m/>
    <m/>
    <m/>
    <m/>
    <m/>
    <m/>
    <m/>
  </r>
  <r>
    <x v="39"/>
    <x v="7"/>
    <m/>
    <m/>
    <m/>
    <m/>
    <m/>
    <m/>
    <m/>
    <m/>
    <m/>
    <m/>
    <m/>
    <m/>
    <m/>
    <m/>
    <m/>
    <m/>
    <m/>
  </r>
  <r>
    <x v="39"/>
    <x v="8"/>
    <m/>
    <m/>
    <m/>
    <m/>
    <m/>
    <m/>
    <m/>
    <m/>
    <m/>
    <m/>
    <m/>
    <m/>
    <m/>
    <m/>
    <m/>
    <m/>
    <m/>
  </r>
  <r>
    <x v="39"/>
    <x v="9"/>
    <m/>
    <m/>
    <m/>
    <m/>
    <m/>
    <m/>
    <m/>
    <m/>
    <m/>
    <m/>
    <m/>
    <m/>
    <m/>
    <m/>
    <m/>
    <m/>
    <m/>
  </r>
  <r>
    <x v="39"/>
    <x v="10"/>
    <m/>
    <m/>
    <m/>
    <m/>
    <m/>
    <m/>
    <m/>
    <m/>
    <m/>
    <m/>
    <m/>
    <m/>
    <m/>
    <m/>
    <m/>
    <m/>
    <m/>
  </r>
  <r>
    <x v="39"/>
    <x v="11"/>
    <m/>
    <m/>
    <m/>
    <m/>
    <m/>
    <m/>
    <m/>
    <m/>
    <m/>
    <m/>
    <m/>
    <m/>
    <m/>
    <m/>
    <m/>
    <m/>
    <m/>
  </r>
  <r>
    <x v="39"/>
    <x v="12"/>
    <m/>
    <m/>
    <m/>
    <m/>
    <m/>
    <m/>
    <m/>
    <m/>
    <m/>
    <m/>
    <m/>
    <m/>
    <m/>
    <m/>
    <m/>
    <m/>
    <m/>
  </r>
  <r>
    <x v="39"/>
    <x v="13"/>
    <m/>
    <m/>
    <m/>
    <m/>
    <m/>
    <m/>
    <m/>
    <m/>
    <m/>
    <m/>
    <m/>
    <m/>
    <m/>
    <m/>
    <m/>
    <m/>
    <m/>
  </r>
  <r>
    <x v="39"/>
    <x v="14"/>
    <m/>
    <m/>
    <m/>
    <m/>
    <m/>
    <m/>
    <m/>
    <m/>
    <m/>
    <m/>
    <m/>
    <m/>
    <m/>
    <m/>
    <m/>
    <m/>
    <m/>
  </r>
  <r>
    <x v="39"/>
    <x v="15"/>
    <m/>
    <m/>
    <m/>
    <m/>
    <m/>
    <m/>
    <m/>
    <m/>
    <m/>
    <m/>
    <m/>
    <m/>
    <m/>
    <m/>
    <m/>
    <m/>
    <m/>
  </r>
  <r>
    <x v="39"/>
    <x v="16"/>
    <m/>
    <m/>
    <m/>
    <m/>
    <m/>
    <m/>
    <m/>
    <m/>
    <m/>
    <m/>
    <m/>
    <m/>
    <m/>
    <m/>
    <m/>
    <m/>
    <m/>
  </r>
  <r>
    <x v="39"/>
    <x v="17"/>
    <m/>
    <m/>
    <m/>
    <m/>
    <m/>
    <m/>
    <m/>
    <m/>
    <m/>
    <m/>
    <m/>
    <m/>
    <m/>
    <m/>
    <m/>
    <m/>
    <m/>
  </r>
  <r>
    <x v="39"/>
    <x v="18"/>
    <m/>
    <m/>
    <m/>
    <m/>
    <m/>
    <m/>
    <m/>
    <m/>
    <m/>
    <m/>
    <m/>
    <m/>
    <m/>
    <m/>
    <m/>
    <m/>
    <m/>
  </r>
  <r>
    <x v="39"/>
    <x v="19"/>
    <m/>
    <m/>
    <m/>
    <m/>
    <m/>
    <m/>
    <m/>
    <m/>
    <m/>
    <m/>
    <m/>
    <m/>
    <m/>
    <m/>
    <m/>
    <m/>
    <m/>
  </r>
  <r>
    <x v="39"/>
    <x v="20"/>
    <m/>
    <m/>
    <m/>
    <m/>
    <m/>
    <m/>
    <m/>
    <m/>
    <m/>
    <m/>
    <m/>
    <m/>
    <m/>
    <m/>
    <m/>
    <m/>
    <m/>
  </r>
  <r>
    <x v="39"/>
    <x v="21"/>
    <m/>
    <m/>
    <m/>
    <m/>
    <m/>
    <m/>
    <m/>
    <m/>
    <m/>
    <m/>
    <m/>
    <m/>
    <m/>
    <m/>
    <m/>
    <m/>
    <m/>
  </r>
  <r>
    <x v="39"/>
    <x v="22"/>
    <m/>
    <m/>
    <m/>
    <m/>
    <m/>
    <m/>
    <m/>
    <m/>
    <n v="1"/>
    <m/>
    <n v="1"/>
    <n v="1"/>
    <n v="3"/>
    <n v="1"/>
    <n v="3"/>
    <n v="2"/>
    <m/>
  </r>
  <r>
    <x v="39"/>
    <x v="23"/>
    <m/>
    <m/>
    <m/>
    <m/>
    <m/>
    <m/>
    <m/>
    <m/>
    <m/>
    <m/>
    <m/>
    <m/>
    <m/>
    <m/>
    <m/>
    <m/>
    <m/>
  </r>
  <r>
    <x v="39"/>
    <x v="24"/>
    <m/>
    <m/>
    <m/>
    <m/>
    <m/>
    <m/>
    <m/>
    <m/>
    <m/>
    <m/>
    <m/>
    <m/>
    <m/>
    <m/>
    <m/>
    <m/>
    <m/>
  </r>
  <r>
    <x v="39"/>
    <x v="25"/>
    <m/>
    <m/>
    <m/>
    <m/>
    <m/>
    <m/>
    <m/>
    <m/>
    <m/>
    <m/>
    <m/>
    <m/>
    <m/>
    <m/>
    <m/>
    <m/>
    <m/>
  </r>
  <r>
    <x v="39"/>
    <x v="26"/>
    <m/>
    <m/>
    <m/>
    <m/>
    <m/>
    <m/>
    <m/>
    <m/>
    <m/>
    <m/>
    <m/>
    <m/>
    <m/>
    <m/>
    <m/>
    <m/>
    <m/>
  </r>
  <r>
    <x v="39"/>
    <x v="27"/>
    <m/>
    <m/>
    <m/>
    <m/>
    <m/>
    <m/>
    <m/>
    <m/>
    <m/>
    <m/>
    <m/>
    <m/>
    <m/>
    <m/>
    <m/>
    <m/>
    <m/>
  </r>
  <r>
    <x v="39"/>
    <x v="28"/>
    <m/>
    <m/>
    <m/>
    <m/>
    <m/>
    <m/>
    <m/>
    <m/>
    <m/>
    <m/>
    <m/>
    <m/>
    <m/>
    <m/>
    <m/>
    <m/>
    <m/>
  </r>
  <r>
    <x v="39"/>
    <x v="29"/>
    <m/>
    <m/>
    <m/>
    <m/>
    <m/>
    <m/>
    <m/>
    <m/>
    <m/>
    <m/>
    <m/>
    <m/>
    <m/>
    <m/>
    <m/>
    <m/>
    <m/>
  </r>
  <r>
    <x v="39"/>
    <x v="30"/>
    <m/>
    <m/>
    <m/>
    <m/>
    <m/>
    <m/>
    <m/>
    <m/>
    <m/>
    <m/>
    <m/>
    <m/>
    <m/>
    <m/>
    <m/>
    <m/>
    <m/>
  </r>
  <r>
    <x v="39"/>
    <x v="31"/>
    <m/>
    <m/>
    <m/>
    <m/>
    <m/>
    <m/>
    <m/>
    <m/>
    <m/>
    <m/>
    <m/>
    <m/>
    <m/>
    <m/>
    <m/>
    <m/>
    <m/>
  </r>
  <r>
    <x v="39"/>
    <x v="32"/>
    <m/>
    <m/>
    <m/>
    <m/>
    <m/>
    <m/>
    <m/>
    <m/>
    <m/>
    <m/>
    <m/>
    <m/>
    <m/>
    <m/>
    <m/>
    <m/>
    <m/>
  </r>
  <r>
    <x v="39"/>
    <x v="33"/>
    <m/>
    <m/>
    <m/>
    <m/>
    <m/>
    <m/>
    <m/>
    <m/>
    <m/>
    <m/>
    <m/>
    <m/>
    <m/>
    <m/>
    <m/>
    <m/>
    <m/>
  </r>
  <r>
    <x v="39"/>
    <x v="34"/>
    <m/>
    <m/>
    <m/>
    <m/>
    <m/>
    <m/>
    <m/>
    <m/>
    <m/>
    <m/>
    <m/>
    <m/>
    <m/>
    <m/>
    <m/>
    <m/>
    <m/>
  </r>
  <r>
    <x v="39"/>
    <x v="35"/>
    <m/>
    <m/>
    <m/>
    <m/>
    <m/>
    <m/>
    <m/>
    <m/>
    <m/>
    <m/>
    <m/>
    <m/>
    <m/>
    <m/>
    <m/>
    <m/>
    <m/>
  </r>
  <r>
    <x v="39"/>
    <x v="36"/>
    <m/>
    <m/>
    <m/>
    <m/>
    <m/>
    <m/>
    <m/>
    <m/>
    <m/>
    <m/>
    <m/>
    <m/>
    <m/>
    <m/>
    <m/>
    <m/>
    <m/>
  </r>
  <r>
    <x v="39"/>
    <x v="37"/>
    <m/>
    <m/>
    <m/>
    <m/>
    <m/>
    <m/>
    <m/>
    <m/>
    <m/>
    <m/>
    <m/>
    <m/>
    <m/>
    <m/>
    <m/>
    <m/>
    <m/>
  </r>
  <r>
    <x v="39"/>
    <x v="38"/>
    <m/>
    <m/>
    <m/>
    <m/>
    <m/>
    <m/>
    <m/>
    <m/>
    <m/>
    <m/>
    <m/>
    <m/>
    <m/>
    <m/>
    <m/>
    <m/>
    <m/>
  </r>
  <r>
    <x v="39"/>
    <x v="39"/>
    <m/>
    <m/>
    <m/>
    <m/>
    <m/>
    <m/>
    <m/>
    <m/>
    <m/>
    <m/>
    <m/>
    <m/>
    <m/>
    <m/>
    <m/>
    <m/>
    <m/>
  </r>
  <r>
    <x v="39"/>
    <x v="40"/>
    <m/>
    <m/>
    <m/>
    <m/>
    <m/>
    <m/>
    <m/>
    <m/>
    <m/>
    <m/>
    <m/>
    <m/>
    <m/>
    <m/>
    <m/>
    <m/>
    <m/>
  </r>
  <r>
    <x v="39"/>
    <x v="41"/>
    <m/>
    <m/>
    <m/>
    <m/>
    <m/>
    <m/>
    <m/>
    <m/>
    <m/>
    <m/>
    <m/>
    <m/>
    <m/>
    <m/>
    <m/>
    <m/>
    <m/>
  </r>
  <r>
    <x v="39"/>
    <x v="42"/>
    <m/>
    <m/>
    <m/>
    <m/>
    <m/>
    <m/>
    <m/>
    <m/>
    <m/>
    <m/>
    <m/>
    <m/>
    <m/>
    <m/>
    <m/>
    <m/>
    <m/>
  </r>
  <r>
    <x v="39"/>
    <x v="43"/>
    <m/>
    <m/>
    <m/>
    <m/>
    <m/>
    <m/>
    <m/>
    <m/>
    <m/>
    <m/>
    <m/>
    <m/>
    <m/>
    <m/>
    <m/>
    <m/>
    <m/>
  </r>
  <r>
    <x v="39"/>
    <x v="44"/>
    <m/>
    <m/>
    <m/>
    <m/>
    <m/>
    <m/>
    <m/>
    <m/>
    <m/>
    <m/>
    <m/>
    <m/>
    <m/>
    <m/>
    <m/>
    <m/>
    <m/>
  </r>
  <r>
    <x v="39"/>
    <x v="45"/>
    <m/>
    <m/>
    <m/>
    <m/>
    <m/>
    <m/>
    <m/>
    <m/>
    <m/>
    <m/>
    <m/>
    <m/>
    <m/>
    <m/>
    <m/>
    <m/>
    <m/>
  </r>
  <r>
    <x v="39"/>
    <x v="46"/>
    <m/>
    <m/>
    <m/>
    <m/>
    <m/>
    <m/>
    <m/>
    <m/>
    <m/>
    <m/>
    <m/>
    <m/>
    <m/>
    <m/>
    <m/>
    <m/>
    <m/>
  </r>
  <r>
    <x v="39"/>
    <x v="47"/>
    <m/>
    <m/>
    <m/>
    <m/>
    <m/>
    <m/>
    <m/>
    <m/>
    <m/>
    <m/>
    <m/>
    <m/>
    <m/>
    <m/>
    <m/>
    <m/>
    <m/>
  </r>
  <r>
    <x v="39"/>
    <x v="48"/>
    <m/>
    <m/>
    <m/>
    <m/>
    <m/>
    <m/>
    <m/>
    <m/>
    <m/>
    <m/>
    <m/>
    <m/>
    <m/>
    <m/>
    <m/>
    <m/>
    <m/>
  </r>
  <r>
    <x v="39"/>
    <x v="49"/>
    <m/>
    <m/>
    <m/>
    <m/>
    <m/>
    <m/>
    <m/>
    <m/>
    <m/>
    <m/>
    <m/>
    <m/>
    <m/>
    <m/>
    <m/>
    <m/>
    <m/>
  </r>
  <r>
    <x v="39"/>
    <x v="50"/>
    <m/>
    <m/>
    <m/>
    <m/>
    <m/>
    <m/>
    <m/>
    <m/>
    <m/>
    <m/>
    <m/>
    <m/>
    <m/>
    <m/>
    <m/>
    <m/>
    <m/>
  </r>
  <r>
    <x v="39"/>
    <x v="51"/>
    <m/>
    <m/>
    <m/>
    <m/>
    <m/>
    <m/>
    <m/>
    <m/>
    <m/>
    <m/>
    <m/>
    <m/>
    <m/>
    <m/>
    <m/>
    <m/>
    <m/>
  </r>
  <r>
    <x v="40"/>
    <x v="0"/>
    <m/>
    <m/>
    <m/>
    <m/>
    <m/>
    <m/>
    <m/>
    <m/>
    <m/>
    <m/>
    <m/>
    <m/>
    <m/>
    <m/>
    <m/>
    <m/>
    <m/>
  </r>
  <r>
    <x v="40"/>
    <x v="1"/>
    <m/>
    <m/>
    <m/>
    <m/>
    <m/>
    <m/>
    <m/>
    <m/>
    <m/>
    <m/>
    <m/>
    <m/>
    <m/>
    <m/>
    <m/>
    <m/>
    <m/>
  </r>
  <r>
    <x v="40"/>
    <x v="2"/>
    <m/>
    <m/>
    <m/>
    <m/>
    <m/>
    <m/>
    <m/>
    <m/>
    <m/>
    <m/>
    <m/>
    <m/>
    <m/>
    <m/>
    <m/>
    <m/>
    <m/>
  </r>
  <r>
    <x v="40"/>
    <x v="3"/>
    <m/>
    <m/>
    <m/>
    <m/>
    <m/>
    <m/>
    <m/>
    <m/>
    <m/>
    <m/>
    <m/>
    <m/>
    <m/>
    <m/>
    <m/>
    <m/>
    <m/>
  </r>
  <r>
    <x v="40"/>
    <x v="4"/>
    <m/>
    <m/>
    <m/>
    <m/>
    <m/>
    <m/>
    <m/>
    <m/>
    <m/>
    <m/>
    <m/>
    <m/>
    <m/>
    <m/>
    <m/>
    <m/>
    <m/>
  </r>
  <r>
    <x v="40"/>
    <x v="5"/>
    <m/>
    <m/>
    <m/>
    <m/>
    <m/>
    <m/>
    <m/>
    <m/>
    <m/>
    <m/>
    <m/>
    <m/>
    <m/>
    <m/>
    <m/>
    <m/>
    <m/>
  </r>
  <r>
    <x v="40"/>
    <x v="6"/>
    <m/>
    <m/>
    <m/>
    <m/>
    <m/>
    <m/>
    <m/>
    <m/>
    <m/>
    <m/>
    <m/>
    <m/>
    <m/>
    <m/>
    <m/>
    <m/>
    <m/>
  </r>
  <r>
    <x v="40"/>
    <x v="7"/>
    <m/>
    <m/>
    <m/>
    <m/>
    <m/>
    <m/>
    <m/>
    <m/>
    <m/>
    <m/>
    <m/>
    <m/>
    <m/>
    <m/>
    <m/>
    <m/>
    <m/>
  </r>
  <r>
    <x v="40"/>
    <x v="8"/>
    <m/>
    <m/>
    <m/>
    <m/>
    <m/>
    <m/>
    <m/>
    <m/>
    <m/>
    <m/>
    <m/>
    <m/>
    <m/>
    <m/>
    <m/>
    <m/>
    <m/>
  </r>
  <r>
    <x v="40"/>
    <x v="9"/>
    <m/>
    <m/>
    <m/>
    <m/>
    <m/>
    <m/>
    <m/>
    <m/>
    <m/>
    <m/>
    <m/>
    <m/>
    <m/>
    <m/>
    <m/>
    <m/>
    <m/>
  </r>
  <r>
    <x v="40"/>
    <x v="10"/>
    <m/>
    <m/>
    <m/>
    <m/>
    <m/>
    <m/>
    <m/>
    <m/>
    <m/>
    <m/>
    <m/>
    <m/>
    <m/>
    <m/>
    <m/>
    <m/>
    <m/>
  </r>
  <r>
    <x v="40"/>
    <x v="11"/>
    <m/>
    <m/>
    <m/>
    <m/>
    <m/>
    <m/>
    <m/>
    <m/>
    <m/>
    <m/>
    <m/>
    <m/>
    <m/>
    <m/>
    <m/>
    <m/>
    <m/>
  </r>
  <r>
    <x v="40"/>
    <x v="12"/>
    <m/>
    <m/>
    <m/>
    <m/>
    <m/>
    <m/>
    <m/>
    <m/>
    <m/>
    <m/>
    <m/>
    <m/>
    <m/>
    <m/>
    <m/>
    <m/>
    <m/>
  </r>
  <r>
    <x v="40"/>
    <x v="13"/>
    <m/>
    <m/>
    <m/>
    <m/>
    <m/>
    <m/>
    <m/>
    <m/>
    <m/>
    <m/>
    <m/>
    <m/>
    <m/>
    <m/>
    <m/>
    <m/>
    <m/>
  </r>
  <r>
    <x v="40"/>
    <x v="14"/>
    <m/>
    <m/>
    <m/>
    <m/>
    <m/>
    <m/>
    <m/>
    <m/>
    <m/>
    <m/>
    <m/>
    <m/>
    <m/>
    <m/>
    <m/>
    <m/>
    <m/>
  </r>
  <r>
    <x v="40"/>
    <x v="15"/>
    <m/>
    <m/>
    <m/>
    <m/>
    <m/>
    <m/>
    <m/>
    <m/>
    <n v="2"/>
    <m/>
    <m/>
    <m/>
    <m/>
    <n v="4"/>
    <m/>
    <m/>
    <m/>
  </r>
  <r>
    <x v="40"/>
    <x v="16"/>
    <m/>
    <m/>
    <m/>
    <m/>
    <m/>
    <m/>
    <m/>
    <m/>
    <m/>
    <m/>
    <m/>
    <m/>
    <m/>
    <m/>
    <m/>
    <m/>
    <m/>
  </r>
  <r>
    <x v="40"/>
    <x v="17"/>
    <m/>
    <m/>
    <m/>
    <m/>
    <m/>
    <m/>
    <n v="5"/>
    <m/>
    <n v="8"/>
    <m/>
    <m/>
    <m/>
    <n v="1"/>
    <n v="8"/>
    <n v="2"/>
    <m/>
    <m/>
  </r>
  <r>
    <x v="40"/>
    <x v="18"/>
    <m/>
    <m/>
    <m/>
    <m/>
    <m/>
    <m/>
    <m/>
    <m/>
    <m/>
    <m/>
    <m/>
    <m/>
    <m/>
    <m/>
    <m/>
    <m/>
    <m/>
  </r>
  <r>
    <x v="40"/>
    <x v="19"/>
    <m/>
    <m/>
    <m/>
    <m/>
    <m/>
    <m/>
    <m/>
    <m/>
    <m/>
    <m/>
    <m/>
    <m/>
    <m/>
    <m/>
    <m/>
    <m/>
    <m/>
  </r>
  <r>
    <x v="40"/>
    <x v="20"/>
    <m/>
    <n v="6"/>
    <m/>
    <n v="1"/>
    <m/>
    <n v="4"/>
    <n v="47"/>
    <n v="27"/>
    <m/>
    <m/>
    <n v="8"/>
    <n v="17"/>
    <n v="6"/>
    <n v="22"/>
    <n v="7"/>
    <n v="7"/>
    <m/>
  </r>
  <r>
    <x v="40"/>
    <x v="21"/>
    <m/>
    <m/>
    <m/>
    <m/>
    <m/>
    <m/>
    <m/>
    <m/>
    <m/>
    <m/>
    <m/>
    <m/>
    <m/>
    <m/>
    <m/>
    <m/>
    <m/>
  </r>
  <r>
    <x v="40"/>
    <x v="22"/>
    <m/>
    <m/>
    <m/>
    <m/>
    <m/>
    <m/>
    <m/>
    <m/>
    <m/>
    <m/>
    <m/>
    <m/>
    <m/>
    <m/>
    <m/>
    <m/>
    <m/>
  </r>
  <r>
    <x v="40"/>
    <x v="23"/>
    <m/>
    <m/>
    <m/>
    <m/>
    <m/>
    <m/>
    <m/>
    <m/>
    <m/>
    <m/>
    <n v="2"/>
    <m/>
    <n v="2"/>
    <n v="2"/>
    <n v="2"/>
    <n v="4"/>
    <m/>
  </r>
  <r>
    <x v="40"/>
    <x v="24"/>
    <m/>
    <m/>
    <m/>
    <m/>
    <m/>
    <m/>
    <m/>
    <m/>
    <m/>
    <m/>
    <m/>
    <m/>
    <m/>
    <m/>
    <m/>
    <m/>
    <m/>
  </r>
  <r>
    <x v="40"/>
    <x v="25"/>
    <m/>
    <m/>
    <m/>
    <m/>
    <m/>
    <m/>
    <m/>
    <m/>
    <m/>
    <m/>
    <m/>
    <m/>
    <m/>
    <m/>
    <m/>
    <m/>
    <m/>
  </r>
  <r>
    <x v="40"/>
    <x v="26"/>
    <m/>
    <m/>
    <m/>
    <m/>
    <m/>
    <m/>
    <n v="26"/>
    <n v="11"/>
    <m/>
    <m/>
    <n v="6"/>
    <n v="13"/>
    <n v="6"/>
    <n v="18"/>
    <n v="6"/>
    <n v="6"/>
    <m/>
  </r>
  <r>
    <x v="40"/>
    <x v="27"/>
    <m/>
    <m/>
    <m/>
    <m/>
    <m/>
    <m/>
    <m/>
    <m/>
    <m/>
    <m/>
    <m/>
    <m/>
    <m/>
    <m/>
    <m/>
    <m/>
    <m/>
  </r>
  <r>
    <x v="40"/>
    <x v="28"/>
    <m/>
    <m/>
    <m/>
    <m/>
    <m/>
    <m/>
    <m/>
    <m/>
    <m/>
    <m/>
    <m/>
    <n v="1"/>
    <m/>
    <n v="3"/>
    <m/>
    <m/>
    <m/>
  </r>
  <r>
    <x v="40"/>
    <x v="29"/>
    <m/>
    <m/>
    <m/>
    <m/>
    <m/>
    <m/>
    <m/>
    <n v="1"/>
    <m/>
    <m/>
    <n v="1"/>
    <m/>
    <n v="3"/>
    <n v="1"/>
    <n v="1"/>
    <n v="3"/>
    <m/>
  </r>
  <r>
    <x v="40"/>
    <x v="30"/>
    <m/>
    <m/>
    <m/>
    <m/>
    <m/>
    <m/>
    <m/>
    <m/>
    <m/>
    <m/>
    <m/>
    <m/>
    <m/>
    <n v="2"/>
    <m/>
    <m/>
    <m/>
  </r>
  <r>
    <x v="40"/>
    <x v="31"/>
    <n v="11"/>
    <n v="5"/>
    <n v="4"/>
    <n v="3"/>
    <n v="8"/>
    <n v="2"/>
    <n v="220"/>
    <n v="33"/>
    <n v="13"/>
    <n v="11"/>
    <n v="21"/>
    <n v="33"/>
    <n v="31"/>
    <n v="99"/>
    <n v="23"/>
    <n v="47"/>
    <m/>
  </r>
  <r>
    <x v="40"/>
    <x v="32"/>
    <m/>
    <m/>
    <m/>
    <m/>
    <m/>
    <m/>
    <m/>
    <m/>
    <m/>
    <m/>
    <m/>
    <m/>
    <m/>
    <n v="2"/>
    <m/>
    <m/>
    <m/>
  </r>
  <r>
    <x v="40"/>
    <x v="33"/>
    <m/>
    <m/>
    <m/>
    <m/>
    <m/>
    <m/>
    <m/>
    <m/>
    <m/>
    <m/>
    <m/>
    <m/>
    <m/>
    <m/>
    <m/>
    <m/>
    <m/>
  </r>
  <r>
    <x v="40"/>
    <x v="34"/>
    <m/>
    <m/>
    <m/>
    <m/>
    <m/>
    <m/>
    <m/>
    <m/>
    <m/>
    <m/>
    <m/>
    <m/>
    <m/>
    <m/>
    <m/>
    <m/>
    <m/>
  </r>
  <r>
    <x v="40"/>
    <x v="35"/>
    <m/>
    <m/>
    <m/>
    <m/>
    <m/>
    <m/>
    <m/>
    <m/>
    <n v="2"/>
    <m/>
    <m/>
    <m/>
    <m/>
    <n v="1"/>
    <m/>
    <m/>
    <m/>
  </r>
  <r>
    <x v="40"/>
    <x v="36"/>
    <m/>
    <m/>
    <m/>
    <m/>
    <m/>
    <m/>
    <m/>
    <m/>
    <m/>
    <m/>
    <m/>
    <m/>
    <m/>
    <m/>
    <m/>
    <m/>
    <m/>
  </r>
  <r>
    <x v="40"/>
    <x v="37"/>
    <m/>
    <m/>
    <m/>
    <m/>
    <m/>
    <m/>
    <m/>
    <m/>
    <m/>
    <m/>
    <m/>
    <m/>
    <m/>
    <m/>
    <m/>
    <m/>
    <m/>
  </r>
  <r>
    <x v="40"/>
    <x v="38"/>
    <m/>
    <m/>
    <m/>
    <m/>
    <m/>
    <m/>
    <n v="7"/>
    <n v="3"/>
    <n v="8"/>
    <m/>
    <m/>
    <n v="1"/>
    <n v="1"/>
    <n v="9"/>
    <m/>
    <m/>
    <m/>
  </r>
  <r>
    <x v="40"/>
    <x v="39"/>
    <m/>
    <m/>
    <m/>
    <m/>
    <m/>
    <m/>
    <m/>
    <m/>
    <m/>
    <m/>
    <m/>
    <m/>
    <m/>
    <m/>
    <m/>
    <m/>
    <m/>
  </r>
  <r>
    <x v="40"/>
    <x v="40"/>
    <m/>
    <m/>
    <m/>
    <m/>
    <m/>
    <m/>
    <m/>
    <m/>
    <m/>
    <m/>
    <m/>
    <m/>
    <m/>
    <m/>
    <m/>
    <m/>
    <m/>
  </r>
  <r>
    <x v="40"/>
    <x v="41"/>
    <m/>
    <m/>
    <m/>
    <m/>
    <m/>
    <m/>
    <m/>
    <m/>
    <m/>
    <m/>
    <m/>
    <m/>
    <m/>
    <m/>
    <m/>
    <m/>
    <m/>
  </r>
  <r>
    <x v="40"/>
    <x v="42"/>
    <m/>
    <m/>
    <m/>
    <m/>
    <m/>
    <m/>
    <n v="5"/>
    <m/>
    <m/>
    <m/>
    <m/>
    <m/>
    <m/>
    <n v="5"/>
    <m/>
    <m/>
    <m/>
  </r>
  <r>
    <x v="40"/>
    <x v="43"/>
    <m/>
    <m/>
    <m/>
    <m/>
    <m/>
    <m/>
    <m/>
    <m/>
    <m/>
    <m/>
    <m/>
    <m/>
    <m/>
    <m/>
    <m/>
    <m/>
    <m/>
  </r>
  <r>
    <x v="40"/>
    <x v="44"/>
    <m/>
    <m/>
    <m/>
    <m/>
    <m/>
    <m/>
    <m/>
    <m/>
    <m/>
    <m/>
    <m/>
    <m/>
    <m/>
    <n v="4"/>
    <m/>
    <m/>
    <m/>
  </r>
  <r>
    <x v="40"/>
    <x v="45"/>
    <m/>
    <m/>
    <m/>
    <m/>
    <m/>
    <m/>
    <m/>
    <m/>
    <m/>
    <m/>
    <m/>
    <m/>
    <m/>
    <n v="6"/>
    <m/>
    <m/>
    <m/>
  </r>
  <r>
    <x v="40"/>
    <x v="46"/>
    <m/>
    <m/>
    <m/>
    <m/>
    <m/>
    <m/>
    <m/>
    <m/>
    <m/>
    <m/>
    <m/>
    <m/>
    <m/>
    <n v="5"/>
    <m/>
    <m/>
    <m/>
  </r>
  <r>
    <x v="40"/>
    <x v="47"/>
    <m/>
    <m/>
    <m/>
    <m/>
    <m/>
    <m/>
    <m/>
    <m/>
    <m/>
    <m/>
    <m/>
    <m/>
    <m/>
    <m/>
    <m/>
    <m/>
    <m/>
  </r>
  <r>
    <x v="40"/>
    <x v="48"/>
    <m/>
    <m/>
    <m/>
    <m/>
    <m/>
    <m/>
    <n v="27"/>
    <m/>
    <m/>
    <m/>
    <m/>
    <m/>
    <n v="14"/>
    <n v="62"/>
    <n v="2"/>
    <n v="2"/>
    <m/>
  </r>
  <r>
    <x v="40"/>
    <x v="49"/>
    <m/>
    <m/>
    <m/>
    <m/>
    <m/>
    <m/>
    <m/>
    <m/>
    <m/>
    <m/>
    <m/>
    <m/>
    <m/>
    <m/>
    <m/>
    <m/>
    <m/>
  </r>
  <r>
    <x v="40"/>
    <x v="50"/>
    <m/>
    <m/>
    <m/>
    <m/>
    <m/>
    <m/>
    <m/>
    <m/>
    <m/>
    <m/>
    <m/>
    <m/>
    <m/>
    <m/>
    <m/>
    <m/>
    <m/>
  </r>
  <r>
    <x v="40"/>
    <x v="51"/>
    <m/>
    <m/>
    <m/>
    <m/>
    <m/>
    <m/>
    <m/>
    <m/>
    <m/>
    <m/>
    <m/>
    <m/>
    <m/>
    <m/>
    <m/>
    <m/>
    <m/>
  </r>
  <r>
    <x v="41"/>
    <x v="0"/>
    <m/>
    <m/>
    <m/>
    <m/>
    <m/>
    <m/>
    <m/>
    <m/>
    <m/>
    <m/>
    <m/>
    <m/>
    <m/>
    <m/>
    <m/>
    <m/>
    <m/>
  </r>
  <r>
    <x v="41"/>
    <x v="1"/>
    <m/>
    <m/>
    <m/>
    <m/>
    <m/>
    <m/>
    <m/>
    <m/>
    <m/>
    <m/>
    <m/>
    <m/>
    <m/>
    <m/>
    <m/>
    <m/>
    <m/>
  </r>
  <r>
    <x v="41"/>
    <x v="2"/>
    <m/>
    <m/>
    <m/>
    <m/>
    <m/>
    <m/>
    <m/>
    <m/>
    <m/>
    <m/>
    <m/>
    <m/>
    <m/>
    <m/>
    <m/>
    <m/>
    <m/>
  </r>
  <r>
    <x v="41"/>
    <x v="3"/>
    <m/>
    <m/>
    <m/>
    <m/>
    <m/>
    <m/>
    <m/>
    <m/>
    <m/>
    <m/>
    <m/>
    <m/>
    <m/>
    <m/>
    <m/>
    <m/>
    <m/>
  </r>
  <r>
    <x v="41"/>
    <x v="4"/>
    <m/>
    <m/>
    <m/>
    <m/>
    <m/>
    <m/>
    <m/>
    <m/>
    <m/>
    <m/>
    <m/>
    <m/>
    <m/>
    <m/>
    <m/>
    <m/>
    <m/>
  </r>
  <r>
    <x v="41"/>
    <x v="5"/>
    <m/>
    <m/>
    <m/>
    <m/>
    <m/>
    <m/>
    <m/>
    <m/>
    <m/>
    <m/>
    <m/>
    <m/>
    <m/>
    <m/>
    <m/>
    <m/>
    <m/>
  </r>
  <r>
    <x v="41"/>
    <x v="6"/>
    <m/>
    <m/>
    <m/>
    <m/>
    <m/>
    <m/>
    <m/>
    <m/>
    <m/>
    <m/>
    <m/>
    <m/>
    <m/>
    <m/>
    <m/>
    <m/>
    <m/>
  </r>
  <r>
    <x v="41"/>
    <x v="7"/>
    <m/>
    <m/>
    <m/>
    <m/>
    <m/>
    <m/>
    <m/>
    <m/>
    <m/>
    <m/>
    <m/>
    <m/>
    <m/>
    <m/>
    <m/>
    <m/>
    <m/>
  </r>
  <r>
    <x v="41"/>
    <x v="8"/>
    <m/>
    <m/>
    <m/>
    <m/>
    <m/>
    <m/>
    <m/>
    <m/>
    <m/>
    <m/>
    <m/>
    <m/>
    <m/>
    <m/>
    <m/>
    <m/>
    <m/>
  </r>
  <r>
    <x v="41"/>
    <x v="9"/>
    <m/>
    <m/>
    <m/>
    <m/>
    <m/>
    <m/>
    <m/>
    <m/>
    <m/>
    <m/>
    <m/>
    <m/>
    <m/>
    <m/>
    <m/>
    <m/>
    <m/>
  </r>
  <r>
    <x v="41"/>
    <x v="10"/>
    <m/>
    <m/>
    <m/>
    <m/>
    <m/>
    <m/>
    <m/>
    <m/>
    <m/>
    <m/>
    <m/>
    <m/>
    <m/>
    <m/>
    <m/>
    <m/>
    <m/>
  </r>
  <r>
    <x v="41"/>
    <x v="11"/>
    <m/>
    <m/>
    <m/>
    <m/>
    <m/>
    <m/>
    <m/>
    <m/>
    <m/>
    <m/>
    <m/>
    <m/>
    <m/>
    <m/>
    <m/>
    <m/>
    <m/>
  </r>
  <r>
    <x v="41"/>
    <x v="12"/>
    <m/>
    <m/>
    <m/>
    <m/>
    <m/>
    <m/>
    <m/>
    <m/>
    <m/>
    <m/>
    <m/>
    <m/>
    <m/>
    <m/>
    <m/>
    <m/>
    <m/>
  </r>
  <r>
    <x v="41"/>
    <x v="13"/>
    <m/>
    <m/>
    <m/>
    <m/>
    <m/>
    <m/>
    <m/>
    <m/>
    <m/>
    <m/>
    <m/>
    <m/>
    <m/>
    <m/>
    <m/>
    <m/>
    <m/>
  </r>
  <r>
    <x v="41"/>
    <x v="14"/>
    <m/>
    <m/>
    <m/>
    <m/>
    <m/>
    <m/>
    <m/>
    <m/>
    <m/>
    <m/>
    <m/>
    <m/>
    <m/>
    <m/>
    <m/>
    <m/>
    <m/>
  </r>
  <r>
    <x v="41"/>
    <x v="15"/>
    <m/>
    <m/>
    <m/>
    <m/>
    <m/>
    <m/>
    <m/>
    <m/>
    <m/>
    <m/>
    <m/>
    <m/>
    <m/>
    <m/>
    <m/>
    <m/>
    <m/>
  </r>
  <r>
    <x v="41"/>
    <x v="16"/>
    <m/>
    <m/>
    <m/>
    <m/>
    <m/>
    <m/>
    <m/>
    <m/>
    <m/>
    <m/>
    <m/>
    <m/>
    <m/>
    <m/>
    <m/>
    <m/>
    <m/>
  </r>
  <r>
    <x v="41"/>
    <x v="17"/>
    <m/>
    <m/>
    <m/>
    <m/>
    <m/>
    <m/>
    <m/>
    <m/>
    <m/>
    <m/>
    <m/>
    <m/>
    <m/>
    <m/>
    <m/>
    <m/>
    <m/>
  </r>
  <r>
    <x v="41"/>
    <x v="18"/>
    <m/>
    <m/>
    <m/>
    <m/>
    <m/>
    <m/>
    <m/>
    <m/>
    <m/>
    <m/>
    <m/>
    <m/>
    <m/>
    <m/>
    <m/>
    <m/>
    <m/>
  </r>
  <r>
    <x v="41"/>
    <x v="19"/>
    <m/>
    <m/>
    <m/>
    <m/>
    <m/>
    <m/>
    <m/>
    <m/>
    <m/>
    <m/>
    <m/>
    <m/>
    <m/>
    <m/>
    <m/>
    <m/>
    <m/>
  </r>
  <r>
    <x v="41"/>
    <x v="20"/>
    <m/>
    <m/>
    <m/>
    <m/>
    <m/>
    <m/>
    <m/>
    <m/>
    <m/>
    <m/>
    <m/>
    <m/>
    <m/>
    <m/>
    <m/>
    <m/>
    <m/>
  </r>
  <r>
    <x v="41"/>
    <x v="21"/>
    <m/>
    <m/>
    <m/>
    <m/>
    <m/>
    <m/>
    <m/>
    <m/>
    <m/>
    <m/>
    <m/>
    <m/>
    <m/>
    <m/>
    <m/>
    <m/>
    <m/>
  </r>
  <r>
    <x v="41"/>
    <x v="22"/>
    <m/>
    <m/>
    <m/>
    <m/>
    <m/>
    <m/>
    <m/>
    <m/>
    <m/>
    <m/>
    <m/>
    <m/>
    <m/>
    <m/>
    <m/>
    <m/>
    <m/>
  </r>
  <r>
    <x v="41"/>
    <x v="23"/>
    <m/>
    <m/>
    <m/>
    <m/>
    <m/>
    <m/>
    <m/>
    <m/>
    <m/>
    <m/>
    <m/>
    <m/>
    <m/>
    <m/>
    <m/>
    <m/>
    <m/>
  </r>
  <r>
    <x v="41"/>
    <x v="24"/>
    <m/>
    <m/>
    <m/>
    <m/>
    <m/>
    <m/>
    <m/>
    <m/>
    <m/>
    <m/>
    <m/>
    <m/>
    <m/>
    <m/>
    <m/>
    <m/>
    <m/>
  </r>
  <r>
    <x v="41"/>
    <x v="25"/>
    <m/>
    <m/>
    <m/>
    <m/>
    <m/>
    <m/>
    <m/>
    <m/>
    <m/>
    <m/>
    <m/>
    <m/>
    <m/>
    <m/>
    <m/>
    <m/>
    <m/>
  </r>
  <r>
    <x v="41"/>
    <x v="26"/>
    <m/>
    <m/>
    <m/>
    <m/>
    <m/>
    <m/>
    <m/>
    <m/>
    <m/>
    <m/>
    <m/>
    <m/>
    <m/>
    <m/>
    <m/>
    <m/>
    <m/>
  </r>
  <r>
    <x v="41"/>
    <x v="27"/>
    <m/>
    <m/>
    <m/>
    <m/>
    <m/>
    <m/>
    <m/>
    <m/>
    <m/>
    <m/>
    <m/>
    <m/>
    <m/>
    <m/>
    <m/>
    <m/>
    <m/>
  </r>
  <r>
    <x v="41"/>
    <x v="28"/>
    <m/>
    <m/>
    <m/>
    <m/>
    <m/>
    <m/>
    <m/>
    <m/>
    <m/>
    <m/>
    <m/>
    <m/>
    <m/>
    <m/>
    <m/>
    <m/>
    <m/>
  </r>
  <r>
    <x v="41"/>
    <x v="29"/>
    <m/>
    <m/>
    <m/>
    <m/>
    <m/>
    <m/>
    <m/>
    <m/>
    <m/>
    <m/>
    <m/>
    <m/>
    <m/>
    <m/>
    <m/>
    <m/>
    <m/>
  </r>
  <r>
    <x v="41"/>
    <x v="30"/>
    <m/>
    <m/>
    <m/>
    <m/>
    <m/>
    <m/>
    <m/>
    <m/>
    <m/>
    <m/>
    <m/>
    <m/>
    <m/>
    <m/>
    <m/>
    <m/>
    <m/>
  </r>
  <r>
    <x v="41"/>
    <x v="31"/>
    <m/>
    <m/>
    <m/>
    <m/>
    <m/>
    <m/>
    <m/>
    <m/>
    <m/>
    <m/>
    <m/>
    <m/>
    <m/>
    <m/>
    <m/>
    <m/>
    <m/>
  </r>
  <r>
    <x v="41"/>
    <x v="32"/>
    <m/>
    <m/>
    <m/>
    <m/>
    <m/>
    <m/>
    <m/>
    <m/>
    <m/>
    <m/>
    <m/>
    <m/>
    <m/>
    <m/>
    <m/>
    <m/>
    <m/>
  </r>
  <r>
    <x v="41"/>
    <x v="33"/>
    <m/>
    <m/>
    <m/>
    <m/>
    <m/>
    <m/>
    <m/>
    <m/>
    <m/>
    <m/>
    <m/>
    <m/>
    <m/>
    <m/>
    <m/>
    <m/>
    <m/>
  </r>
  <r>
    <x v="41"/>
    <x v="34"/>
    <m/>
    <m/>
    <m/>
    <m/>
    <m/>
    <m/>
    <m/>
    <m/>
    <m/>
    <m/>
    <m/>
    <m/>
    <m/>
    <m/>
    <m/>
    <m/>
    <m/>
  </r>
  <r>
    <x v="41"/>
    <x v="35"/>
    <m/>
    <m/>
    <m/>
    <m/>
    <m/>
    <m/>
    <m/>
    <m/>
    <m/>
    <m/>
    <m/>
    <m/>
    <m/>
    <m/>
    <m/>
    <m/>
    <m/>
  </r>
  <r>
    <x v="41"/>
    <x v="36"/>
    <m/>
    <m/>
    <m/>
    <m/>
    <m/>
    <m/>
    <m/>
    <m/>
    <m/>
    <m/>
    <m/>
    <m/>
    <m/>
    <m/>
    <m/>
    <m/>
    <m/>
  </r>
  <r>
    <x v="41"/>
    <x v="37"/>
    <m/>
    <m/>
    <m/>
    <m/>
    <m/>
    <m/>
    <m/>
    <m/>
    <m/>
    <m/>
    <m/>
    <m/>
    <m/>
    <m/>
    <m/>
    <m/>
    <m/>
  </r>
  <r>
    <x v="41"/>
    <x v="38"/>
    <m/>
    <m/>
    <m/>
    <m/>
    <m/>
    <m/>
    <m/>
    <m/>
    <m/>
    <m/>
    <m/>
    <m/>
    <m/>
    <m/>
    <m/>
    <m/>
    <m/>
  </r>
  <r>
    <x v="41"/>
    <x v="39"/>
    <m/>
    <m/>
    <m/>
    <m/>
    <m/>
    <m/>
    <m/>
    <m/>
    <m/>
    <m/>
    <m/>
    <m/>
    <m/>
    <m/>
    <m/>
    <m/>
    <m/>
  </r>
  <r>
    <x v="41"/>
    <x v="40"/>
    <m/>
    <m/>
    <m/>
    <m/>
    <m/>
    <m/>
    <m/>
    <m/>
    <m/>
    <m/>
    <m/>
    <m/>
    <m/>
    <m/>
    <m/>
    <m/>
    <m/>
  </r>
  <r>
    <x v="41"/>
    <x v="41"/>
    <m/>
    <m/>
    <m/>
    <m/>
    <m/>
    <m/>
    <m/>
    <m/>
    <m/>
    <m/>
    <m/>
    <m/>
    <m/>
    <m/>
    <m/>
    <m/>
    <m/>
  </r>
  <r>
    <x v="41"/>
    <x v="42"/>
    <m/>
    <m/>
    <m/>
    <m/>
    <m/>
    <m/>
    <m/>
    <m/>
    <m/>
    <m/>
    <m/>
    <m/>
    <m/>
    <m/>
    <m/>
    <m/>
    <m/>
  </r>
  <r>
    <x v="41"/>
    <x v="43"/>
    <m/>
    <m/>
    <m/>
    <m/>
    <m/>
    <m/>
    <m/>
    <m/>
    <m/>
    <m/>
    <m/>
    <m/>
    <m/>
    <m/>
    <m/>
    <m/>
    <m/>
  </r>
  <r>
    <x v="41"/>
    <x v="44"/>
    <m/>
    <m/>
    <m/>
    <m/>
    <m/>
    <m/>
    <m/>
    <m/>
    <m/>
    <m/>
    <m/>
    <m/>
    <m/>
    <m/>
    <m/>
    <m/>
    <m/>
  </r>
  <r>
    <x v="41"/>
    <x v="45"/>
    <m/>
    <m/>
    <m/>
    <m/>
    <m/>
    <m/>
    <m/>
    <m/>
    <m/>
    <m/>
    <m/>
    <m/>
    <m/>
    <m/>
    <m/>
    <m/>
    <m/>
  </r>
  <r>
    <x v="41"/>
    <x v="46"/>
    <m/>
    <m/>
    <m/>
    <m/>
    <m/>
    <m/>
    <m/>
    <m/>
    <m/>
    <m/>
    <m/>
    <m/>
    <m/>
    <m/>
    <m/>
    <m/>
    <m/>
  </r>
  <r>
    <x v="41"/>
    <x v="47"/>
    <m/>
    <m/>
    <m/>
    <m/>
    <m/>
    <m/>
    <m/>
    <m/>
    <m/>
    <m/>
    <m/>
    <m/>
    <m/>
    <m/>
    <m/>
    <m/>
    <m/>
  </r>
  <r>
    <x v="41"/>
    <x v="48"/>
    <m/>
    <m/>
    <m/>
    <m/>
    <m/>
    <m/>
    <m/>
    <m/>
    <m/>
    <m/>
    <m/>
    <m/>
    <m/>
    <m/>
    <m/>
    <m/>
    <m/>
  </r>
  <r>
    <x v="41"/>
    <x v="49"/>
    <m/>
    <m/>
    <m/>
    <m/>
    <m/>
    <m/>
    <m/>
    <m/>
    <m/>
    <m/>
    <m/>
    <m/>
    <m/>
    <m/>
    <m/>
    <m/>
    <m/>
  </r>
  <r>
    <x v="41"/>
    <x v="50"/>
    <m/>
    <m/>
    <m/>
    <m/>
    <m/>
    <m/>
    <m/>
    <m/>
    <m/>
    <m/>
    <m/>
    <m/>
    <m/>
    <m/>
    <m/>
    <m/>
    <m/>
  </r>
  <r>
    <x v="41"/>
    <x v="51"/>
    <m/>
    <m/>
    <m/>
    <m/>
    <m/>
    <m/>
    <m/>
    <m/>
    <m/>
    <m/>
    <m/>
    <m/>
    <m/>
    <m/>
    <m/>
    <m/>
    <m/>
  </r>
  <r>
    <x v="42"/>
    <x v="0"/>
    <m/>
    <m/>
    <m/>
    <m/>
    <m/>
    <m/>
    <m/>
    <m/>
    <m/>
    <m/>
    <m/>
    <m/>
    <m/>
    <m/>
    <m/>
    <m/>
    <m/>
  </r>
  <r>
    <x v="42"/>
    <x v="1"/>
    <m/>
    <m/>
    <m/>
    <m/>
    <m/>
    <m/>
    <m/>
    <m/>
    <m/>
    <m/>
    <m/>
    <m/>
    <m/>
    <m/>
    <m/>
    <m/>
    <m/>
  </r>
  <r>
    <x v="42"/>
    <x v="2"/>
    <m/>
    <m/>
    <m/>
    <m/>
    <m/>
    <m/>
    <m/>
    <m/>
    <m/>
    <m/>
    <m/>
    <m/>
    <m/>
    <m/>
    <m/>
    <m/>
    <m/>
  </r>
  <r>
    <x v="42"/>
    <x v="3"/>
    <m/>
    <m/>
    <m/>
    <m/>
    <m/>
    <m/>
    <m/>
    <m/>
    <m/>
    <m/>
    <m/>
    <m/>
    <m/>
    <m/>
    <m/>
    <m/>
    <m/>
  </r>
  <r>
    <x v="42"/>
    <x v="4"/>
    <m/>
    <m/>
    <m/>
    <m/>
    <m/>
    <m/>
    <m/>
    <m/>
    <m/>
    <m/>
    <m/>
    <m/>
    <m/>
    <m/>
    <m/>
    <m/>
    <m/>
  </r>
  <r>
    <x v="42"/>
    <x v="5"/>
    <m/>
    <m/>
    <m/>
    <m/>
    <m/>
    <m/>
    <m/>
    <m/>
    <m/>
    <m/>
    <m/>
    <m/>
    <m/>
    <m/>
    <m/>
    <m/>
    <m/>
  </r>
  <r>
    <x v="42"/>
    <x v="6"/>
    <m/>
    <m/>
    <m/>
    <m/>
    <m/>
    <m/>
    <m/>
    <m/>
    <m/>
    <m/>
    <m/>
    <m/>
    <m/>
    <m/>
    <m/>
    <m/>
    <m/>
  </r>
  <r>
    <x v="42"/>
    <x v="7"/>
    <m/>
    <m/>
    <m/>
    <m/>
    <m/>
    <m/>
    <m/>
    <m/>
    <m/>
    <m/>
    <m/>
    <m/>
    <m/>
    <m/>
    <m/>
    <m/>
    <m/>
  </r>
  <r>
    <x v="42"/>
    <x v="8"/>
    <m/>
    <m/>
    <m/>
    <m/>
    <m/>
    <m/>
    <m/>
    <m/>
    <m/>
    <m/>
    <m/>
    <m/>
    <m/>
    <m/>
    <m/>
    <m/>
    <m/>
  </r>
  <r>
    <x v="42"/>
    <x v="9"/>
    <m/>
    <m/>
    <m/>
    <m/>
    <m/>
    <m/>
    <m/>
    <m/>
    <m/>
    <m/>
    <m/>
    <m/>
    <m/>
    <m/>
    <m/>
    <m/>
    <m/>
  </r>
  <r>
    <x v="42"/>
    <x v="10"/>
    <m/>
    <m/>
    <m/>
    <m/>
    <m/>
    <m/>
    <m/>
    <m/>
    <m/>
    <m/>
    <m/>
    <m/>
    <m/>
    <m/>
    <m/>
    <m/>
    <m/>
  </r>
  <r>
    <x v="42"/>
    <x v="11"/>
    <m/>
    <m/>
    <m/>
    <m/>
    <m/>
    <m/>
    <m/>
    <m/>
    <m/>
    <m/>
    <m/>
    <m/>
    <m/>
    <m/>
    <m/>
    <m/>
    <m/>
  </r>
  <r>
    <x v="42"/>
    <x v="12"/>
    <m/>
    <m/>
    <m/>
    <m/>
    <m/>
    <m/>
    <m/>
    <m/>
    <m/>
    <m/>
    <m/>
    <m/>
    <m/>
    <m/>
    <m/>
    <m/>
    <m/>
  </r>
  <r>
    <x v="42"/>
    <x v="13"/>
    <m/>
    <m/>
    <m/>
    <m/>
    <m/>
    <m/>
    <m/>
    <m/>
    <m/>
    <m/>
    <m/>
    <m/>
    <m/>
    <m/>
    <m/>
    <m/>
    <m/>
  </r>
  <r>
    <x v="42"/>
    <x v="14"/>
    <m/>
    <m/>
    <m/>
    <m/>
    <m/>
    <m/>
    <m/>
    <m/>
    <m/>
    <m/>
    <m/>
    <m/>
    <m/>
    <m/>
    <m/>
    <m/>
    <m/>
  </r>
  <r>
    <x v="42"/>
    <x v="15"/>
    <m/>
    <m/>
    <m/>
    <m/>
    <m/>
    <m/>
    <m/>
    <m/>
    <m/>
    <m/>
    <m/>
    <m/>
    <m/>
    <m/>
    <m/>
    <m/>
    <m/>
  </r>
  <r>
    <x v="42"/>
    <x v="16"/>
    <m/>
    <m/>
    <m/>
    <m/>
    <m/>
    <m/>
    <m/>
    <m/>
    <m/>
    <m/>
    <m/>
    <m/>
    <m/>
    <m/>
    <m/>
    <m/>
    <m/>
  </r>
  <r>
    <x v="42"/>
    <x v="17"/>
    <m/>
    <m/>
    <m/>
    <m/>
    <m/>
    <m/>
    <m/>
    <m/>
    <m/>
    <m/>
    <m/>
    <m/>
    <m/>
    <m/>
    <m/>
    <m/>
    <m/>
  </r>
  <r>
    <x v="42"/>
    <x v="18"/>
    <m/>
    <m/>
    <m/>
    <m/>
    <m/>
    <m/>
    <m/>
    <m/>
    <m/>
    <m/>
    <m/>
    <m/>
    <m/>
    <m/>
    <m/>
    <m/>
    <m/>
  </r>
  <r>
    <x v="42"/>
    <x v="19"/>
    <m/>
    <m/>
    <m/>
    <m/>
    <m/>
    <m/>
    <m/>
    <m/>
    <m/>
    <m/>
    <m/>
    <m/>
    <m/>
    <m/>
    <m/>
    <m/>
    <m/>
  </r>
  <r>
    <x v="42"/>
    <x v="20"/>
    <m/>
    <m/>
    <m/>
    <m/>
    <m/>
    <m/>
    <m/>
    <m/>
    <m/>
    <m/>
    <m/>
    <m/>
    <m/>
    <m/>
    <m/>
    <m/>
    <m/>
  </r>
  <r>
    <x v="42"/>
    <x v="21"/>
    <m/>
    <m/>
    <m/>
    <m/>
    <m/>
    <m/>
    <m/>
    <m/>
    <m/>
    <m/>
    <m/>
    <m/>
    <m/>
    <m/>
    <m/>
    <m/>
    <m/>
  </r>
  <r>
    <x v="42"/>
    <x v="22"/>
    <m/>
    <m/>
    <m/>
    <m/>
    <m/>
    <m/>
    <m/>
    <m/>
    <m/>
    <m/>
    <m/>
    <m/>
    <m/>
    <m/>
    <m/>
    <m/>
    <m/>
  </r>
  <r>
    <x v="42"/>
    <x v="23"/>
    <m/>
    <m/>
    <m/>
    <m/>
    <m/>
    <m/>
    <m/>
    <m/>
    <m/>
    <m/>
    <m/>
    <m/>
    <m/>
    <m/>
    <m/>
    <m/>
    <m/>
  </r>
  <r>
    <x v="42"/>
    <x v="24"/>
    <m/>
    <m/>
    <m/>
    <m/>
    <m/>
    <m/>
    <m/>
    <m/>
    <m/>
    <m/>
    <m/>
    <m/>
    <m/>
    <m/>
    <m/>
    <m/>
    <m/>
  </r>
  <r>
    <x v="42"/>
    <x v="25"/>
    <m/>
    <m/>
    <m/>
    <m/>
    <m/>
    <m/>
    <m/>
    <m/>
    <m/>
    <m/>
    <m/>
    <m/>
    <m/>
    <m/>
    <m/>
    <m/>
    <m/>
  </r>
  <r>
    <x v="42"/>
    <x v="26"/>
    <m/>
    <m/>
    <m/>
    <m/>
    <m/>
    <m/>
    <m/>
    <m/>
    <m/>
    <m/>
    <m/>
    <m/>
    <m/>
    <m/>
    <m/>
    <m/>
    <m/>
  </r>
  <r>
    <x v="42"/>
    <x v="27"/>
    <m/>
    <m/>
    <m/>
    <m/>
    <m/>
    <m/>
    <m/>
    <m/>
    <m/>
    <m/>
    <m/>
    <m/>
    <m/>
    <m/>
    <m/>
    <m/>
    <m/>
  </r>
  <r>
    <x v="42"/>
    <x v="28"/>
    <m/>
    <m/>
    <m/>
    <m/>
    <m/>
    <m/>
    <m/>
    <m/>
    <m/>
    <m/>
    <m/>
    <m/>
    <m/>
    <m/>
    <m/>
    <m/>
    <m/>
  </r>
  <r>
    <x v="42"/>
    <x v="29"/>
    <m/>
    <m/>
    <m/>
    <m/>
    <m/>
    <m/>
    <m/>
    <m/>
    <m/>
    <m/>
    <m/>
    <m/>
    <m/>
    <m/>
    <m/>
    <m/>
    <m/>
  </r>
  <r>
    <x v="42"/>
    <x v="30"/>
    <m/>
    <m/>
    <m/>
    <m/>
    <m/>
    <m/>
    <m/>
    <m/>
    <m/>
    <m/>
    <m/>
    <m/>
    <m/>
    <m/>
    <m/>
    <m/>
    <m/>
  </r>
  <r>
    <x v="42"/>
    <x v="31"/>
    <m/>
    <m/>
    <m/>
    <m/>
    <m/>
    <m/>
    <m/>
    <m/>
    <m/>
    <m/>
    <m/>
    <m/>
    <m/>
    <m/>
    <m/>
    <m/>
    <m/>
  </r>
  <r>
    <x v="42"/>
    <x v="32"/>
    <m/>
    <m/>
    <m/>
    <m/>
    <m/>
    <m/>
    <m/>
    <m/>
    <m/>
    <m/>
    <m/>
    <m/>
    <m/>
    <m/>
    <m/>
    <m/>
    <m/>
  </r>
  <r>
    <x v="42"/>
    <x v="33"/>
    <m/>
    <m/>
    <m/>
    <m/>
    <m/>
    <m/>
    <m/>
    <m/>
    <m/>
    <m/>
    <m/>
    <m/>
    <m/>
    <m/>
    <m/>
    <m/>
    <m/>
  </r>
  <r>
    <x v="42"/>
    <x v="34"/>
    <m/>
    <m/>
    <m/>
    <m/>
    <m/>
    <m/>
    <m/>
    <m/>
    <m/>
    <m/>
    <m/>
    <m/>
    <m/>
    <m/>
    <m/>
    <m/>
    <m/>
  </r>
  <r>
    <x v="42"/>
    <x v="35"/>
    <m/>
    <m/>
    <m/>
    <m/>
    <m/>
    <m/>
    <m/>
    <m/>
    <m/>
    <m/>
    <m/>
    <m/>
    <m/>
    <m/>
    <m/>
    <m/>
    <m/>
  </r>
  <r>
    <x v="42"/>
    <x v="36"/>
    <m/>
    <m/>
    <m/>
    <m/>
    <m/>
    <m/>
    <m/>
    <m/>
    <m/>
    <m/>
    <m/>
    <m/>
    <m/>
    <m/>
    <m/>
    <m/>
    <m/>
  </r>
  <r>
    <x v="42"/>
    <x v="37"/>
    <m/>
    <m/>
    <m/>
    <m/>
    <m/>
    <m/>
    <m/>
    <m/>
    <m/>
    <m/>
    <m/>
    <m/>
    <m/>
    <m/>
    <m/>
    <m/>
    <m/>
  </r>
  <r>
    <x v="42"/>
    <x v="38"/>
    <m/>
    <m/>
    <m/>
    <m/>
    <m/>
    <m/>
    <m/>
    <m/>
    <m/>
    <m/>
    <m/>
    <m/>
    <m/>
    <m/>
    <m/>
    <m/>
    <m/>
  </r>
  <r>
    <x v="42"/>
    <x v="39"/>
    <m/>
    <m/>
    <m/>
    <m/>
    <m/>
    <m/>
    <m/>
    <m/>
    <m/>
    <m/>
    <m/>
    <m/>
    <m/>
    <m/>
    <m/>
    <m/>
    <m/>
  </r>
  <r>
    <x v="42"/>
    <x v="40"/>
    <m/>
    <m/>
    <m/>
    <m/>
    <m/>
    <m/>
    <m/>
    <m/>
    <m/>
    <m/>
    <m/>
    <m/>
    <m/>
    <m/>
    <m/>
    <m/>
    <m/>
  </r>
  <r>
    <x v="42"/>
    <x v="41"/>
    <m/>
    <m/>
    <m/>
    <m/>
    <m/>
    <m/>
    <m/>
    <m/>
    <m/>
    <m/>
    <m/>
    <m/>
    <m/>
    <m/>
    <m/>
    <m/>
    <m/>
  </r>
  <r>
    <x v="42"/>
    <x v="42"/>
    <m/>
    <m/>
    <m/>
    <m/>
    <m/>
    <m/>
    <m/>
    <m/>
    <m/>
    <m/>
    <m/>
    <m/>
    <m/>
    <m/>
    <n v="2"/>
    <n v="2"/>
    <m/>
  </r>
  <r>
    <x v="42"/>
    <x v="43"/>
    <m/>
    <m/>
    <m/>
    <m/>
    <m/>
    <m/>
    <m/>
    <m/>
    <m/>
    <m/>
    <m/>
    <m/>
    <m/>
    <m/>
    <m/>
    <m/>
    <m/>
  </r>
  <r>
    <x v="42"/>
    <x v="44"/>
    <m/>
    <m/>
    <m/>
    <m/>
    <m/>
    <m/>
    <m/>
    <m/>
    <m/>
    <m/>
    <m/>
    <m/>
    <m/>
    <m/>
    <m/>
    <m/>
    <m/>
  </r>
  <r>
    <x v="42"/>
    <x v="45"/>
    <m/>
    <m/>
    <m/>
    <m/>
    <m/>
    <m/>
    <m/>
    <m/>
    <m/>
    <m/>
    <m/>
    <m/>
    <m/>
    <m/>
    <m/>
    <m/>
    <m/>
  </r>
  <r>
    <x v="42"/>
    <x v="46"/>
    <m/>
    <m/>
    <m/>
    <m/>
    <m/>
    <m/>
    <m/>
    <m/>
    <m/>
    <m/>
    <m/>
    <m/>
    <m/>
    <m/>
    <m/>
    <m/>
    <m/>
  </r>
  <r>
    <x v="42"/>
    <x v="47"/>
    <m/>
    <m/>
    <m/>
    <m/>
    <m/>
    <m/>
    <m/>
    <m/>
    <m/>
    <m/>
    <m/>
    <m/>
    <m/>
    <m/>
    <m/>
    <m/>
    <m/>
  </r>
  <r>
    <x v="42"/>
    <x v="48"/>
    <m/>
    <m/>
    <m/>
    <m/>
    <m/>
    <m/>
    <m/>
    <m/>
    <m/>
    <m/>
    <m/>
    <m/>
    <m/>
    <m/>
    <m/>
    <m/>
    <m/>
  </r>
  <r>
    <x v="42"/>
    <x v="49"/>
    <m/>
    <m/>
    <m/>
    <m/>
    <m/>
    <m/>
    <m/>
    <m/>
    <m/>
    <m/>
    <m/>
    <m/>
    <m/>
    <m/>
    <m/>
    <m/>
    <m/>
  </r>
  <r>
    <x v="42"/>
    <x v="50"/>
    <m/>
    <m/>
    <m/>
    <m/>
    <m/>
    <m/>
    <m/>
    <m/>
    <m/>
    <m/>
    <m/>
    <m/>
    <m/>
    <m/>
    <m/>
    <m/>
    <m/>
  </r>
  <r>
    <x v="42"/>
    <x v="51"/>
    <m/>
    <m/>
    <m/>
    <m/>
    <m/>
    <m/>
    <m/>
    <m/>
    <m/>
    <m/>
    <m/>
    <m/>
    <m/>
    <m/>
    <m/>
    <m/>
    <m/>
  </r>
  <r>
    <x v="43"/>
    <x v="0"/>
    <m/>
    <m/>
    <m/>
    <m/>
    <m/>
    <m/>
    <m/>
    <m/>
    <m/>
    <m/>
    <m/>
    <m/>
    <m/>
    <m/>
    <m/>
    <m/>
    <m/>
  </r>
  <r>
    <x v="43"/>
    <x v="1"/>
    <m/>
    <m/>
    <m/>
    <m/>
    <m/>
    <m/>
    <m/>
    <m/>
    <m/>
    <m/>
    <m/>
    <m/>
    <m/>
    <m/>
    <m/>
    <m/>
    <m/>
  </r>
  <r>
    <x v="43"/>
    <x v="3"/>
    <m/>
    <m/>
    <m/>
    <m/>
    <m/>
    <m/>
    <m/>
    <m/>
    <m/>
    <m/>
    <m/>
    <m/>
    <m/>
    <m/>
    <m/>
    <m/>
    <m/>
  </r>
  <r>
    <x v="43"/>
    <x v="4"/>
    <m/>
    <m/>
    <m/>
    <m/>
    <m/>
    <m/>
    <m/>
    <m/>
    <m/>
    <m/>
    <m/>
    <m/>
    <m/>
    <m/>
    <m/>
    <m/>
    <m/>
  </r>
  <r>
    <x v="43"/>
    <x v="5"/>
    <m/>
    <m/>
    <m/>
    <m/>
    <m/>
    <m/>
    <m/>
    <m/>
    <m/>
    <m/>
    <m/>
    <m/>
    <m/>
    <m/>
    <m/>
    <m/>
    <m/>
  </r>
  <r>
    <x v="43"/>
    <x v="6"/>
    <m/>
    <m/>
    <m/>
    <m/>
    <m/>
    <m/>
    <m/>
    <m/>
    <m/>
    <m/>
    <m/>
    <m/>
    <m/>
    <m/>
    <m/>
    <m/>
    <m/>
  </r>
  <r>
    <x v="43"/>
    <x v="7"/>
    <m/>
    <m/>
    <m/>
    <m/>
    <m/>
    <m/>
    <m/>
    <m/>
    <m/>
    <m/>
    <m/>
    <m/>
    <m/>
    <m/>
    <m/>
    <m/>
    <m/>
  </r>
  <r>
    <x v="43"/>
    <x v="8"/>
    <m/>
    <m/>
    <m/>
    <m/>
    <m/>
    <m/>
    <m/>
    <m/>
    <m/>
    <m/>
    <m/>
    <m/>
    <m/>
    <m/>
    <m/>
    <m/>
    <m/>
  </r>
  <r>
    <x v="43"/>
    <x v="9"/>
    <m/>
    <m/>
    <m/>
    <m/>
    <m/>
    <m/>
    <m/>
    <m/>
    <m/>
    <m/>
    <m/>
    <m/>
    <m/>
    <m/>
    <m/>
    <m/>
    <m/>
  </r>
  <r>
    <x v="43"/>
    <x v="10"/>
    <m/>
    <m/>
    <m/>
    <m/>
    <m/>
    <m/>
    <m/>
    <m/>
    <m/>
    <m/>
    <m/>
    <m/>
    <m/>
    <m/>
    <m/>
    <m/>
    <m/>
  </r>
  <r>
    <x v="43"/>
    <x v="11"/>
    <m/>
    <m/>
    <m/>
    <m/>
    <m/>
    <m/>
    <m/>
    <m/>
    <m/>
    <m/>
    <m/>
    <m/>
    <m/>
    <m/>
    <m/>
    <m/>
    <m/>
  </r>
  <r>
    <x v="43"/>
    <x v="12"/>
    <m/>
    <m/>
    <m/>
    <m/>
    <m/>
    <m/>
    <m/>
    <m/>
    <m/>
    <m/>
    <m/>
    <m/>
    <m/>
    <m/>
    <m/>
    <m/>
    <m/>
  </r>
  <r>
    <x v="43"/>
    <x v="14"/>
    <m/>
    <m/>
    <m/>
    <m/>
    <m/>
    <m/>
    <m/>
    <m/>
    <m/>
    <m/>
    <m/>
    <m/>
    <m/>
    <m/>
    <m/>
    <m/>
    <m/>
  </r>
  <r>
    <x v="43"/>
    <x v="76"/>
    <m/>
    <m/>
    <m/>
    <m/>
    <m/>
    <m/>
    <m/>
    <m/>
    <m/>
    <m/>
    <m/>
    <m/>
    <m/>
    <m/>
    <m/>
    <m/>
    <m/>
  </r>
  <r>
    <x v="43"/>
    <x v="15"/>
    <m/>
    <m/>
    <m/>
    <m/>
    <m/>
    <m/>
    <m/>
    <m/>
    <m/>
    <m/>
    <m/>
    <m/>
    <m/>
    <m/>
    <m/>
    <m/>
    <m/>
  </r>
  <r>
    <x v="43"/>
    <x v="16"/>
    <m/>
    <m/>
    <m/>
    <m/>
    <m/>
    <m/>
    <m/>
    <m/>
    <m/>
    <m/>
    <m/>
    <m/>
    <m/>
    <m/>
    <m/>
    <m/>
    <m/>
  </r>
  <r>
    <x v="43"/>
    <x v="17"/>
    <m/>
    <m/>
    <m/>
    <m/>
    <m/>
    <m/>
    <m/>
    <m/>
    <m/>
    <m/>
    <m/>
    <m/>
    <m/>
    <m/>
    <m/>
    <m/>
    <m/>
  </r>
  <r>
    <x v="43"/>
    <x v="18"/>
    <m/>
    <m/>
    <m/>
    <m/>
    <m/>
    <m/>
    <m/>
    <m/>
    <m/>
    <m/>
    <m/>
    <m/>
    <m/>
    <m/>
    <m/>
    <m/>
    <m/>
  </r>
  <r>
    <x v="43"/>
    <x v="19"/>
    <m/>
    <m/>
    <m/>
    <m/>
    <m/>
    <m/>
    <m/>
    <m/>
    <m/>
    <m/>
    <m/>
    <m/>
    <m/>
    <m/>
    <m/>
    <m/>
    <m/>
  </r>
  <r>
    <x v="43"/>
    <x v="20"/>
    <m/>
    <m/>
    <m/>
    <m/>
    <m/>
    <m/>
    <m/>
    <m/>
    <m/>
    <m/>
    <m/>
    <m/>
    <m/>
    <m/>
    <m/>
    <m/>
    <m/>
  </r>
  <r>
    <x v="43"/>
    <x v="21"/>
    <m/>
    <m/>
    <m/>
    <m/>
    <m/>
    <m/>
    <m/>
    <m/>
    <m/>
    <m/>
    <m/>
    <m/>
    <m/>
    <m/>
    <m/>
    <m/>
    <m/>
  </r>
  <r>
    <x v="43"/>
    <x v="22"/>
    <m/>
    <m/>
    <m/>
    <m/>
    <m/>
    <m/>
    <m/>
    <m/>
    <m/>
    <m/>
    <m/>
    <m/>
    <m/>
    <m/>
    <m/>
    <m/>
    <m/>
  </r>
  <r>
    <x v="43"/>
    <x v="23"/>
    <m/>
    <m/>
    <m/>
    <m/>
    <m/>
    <m/>
    <m/>
    <m/>
    <m/>
    <m/>
    <m/>
    <m/>
    <m/>
    <m/>
    <m/>
    <m/>
    <m/>
  </r>
  <r>
    <x v="43"/>
    <x v="77"/>
    <m/>
    <m/>
    <m/>
    <m/>
    <m/>
    <m/>
    <m/>
    <m/>
    <m/>
    <m/>
    <m/>
    <m/>
    <m/>
    <m/>
    <m/>
    <m/>
    <m/>
  </r>
  <r>
    <x v="43"/>
    <x v="25"/>
    <m/>
    <m/>
    <m/>
    <m/>
    <m/>
    <m/>
    <m/>
    <m/>
    <m/>
    <m/>
    <m/>
    <m/>
    <m/>
    <m/>
    <m/>
    <m/>
    <m/>
  </r>
  <r>
    <x v="43"/>
    <x v="26"/>
    <m/>
    <m/>
    <m/>
    <m/>
    <m/>
    <m/>
    <m/>
    <m/>
    <m/>
    <m/>
    <m/>
    <m/>
    <m/>
    <m/>
    <m/>
    <m/>
    <m/>
  </r>
  <r>
    <x v="43"/>
    <x v="27"/>
    <m/>
    <m/>
    <m/>
    <m/>
    <m/>
    <m/>
    <m/>
    <m/>
    <m/>
    <m/>
    <m/>
    <m/>
    <m/>
    <m/>
    <m/>
    <m/>
    <m/>
  </r>
  <r>
    <x v="43"/>
    <x v="28"/>
    <m/>
    <m/>
    <m/>
    <m/>
    <m/>
    <m/>
    <m/>
    <m/>
    <m/>
    <m/>
    <m/>
    <m/>
    <m/>
    <m/>
    <m/>
    <m/>
    <m/>
  </r>
  <r>
    <x v="43"/>
    <x v="78"/>
    <m/>
    <m/>
    <m/>
    <m/>
    <m/>
    <m/>
    <m/>
    <m/>
    <m/>
    <m/>
    <m/>
    <m/>
    <m/>
    <m/>
    <m/>
    <m/>
    <m/>
  </r>
  <r>
    <x v="43"/>
    <x v="30"/>
    <m/>
    <m/>
    <m/>
    <m/>
    <m/>
    <m/>
    <m/>
    <m/>
    <m/>
    <m/>
    <m/>
    <m/>
    <m/>
    <m/>
    <m/>
    <m/>
    <m/>
  </r>
  <r>
    <x v="43"/>
    <x v="31"/>
    <m/>
    <m/>
    <m/>
    <m/>
    <m/>
    <m/>
    <n v="2"/>
    <n v="1"/>
    <m/>
    <m/>
    <m/>
    <m/>
    <m/>
    <m/>
    <m/>
    <m/>
    <m/>
  </r>
  <r>
    <x v="43"/>
    <x v="32"/>
    <m/>
    <m/>
    <m/>
    <m/>
    <m/>
    <m/>
    <m/>
    <m/>
    <m/>
    <m/>
    <m/>
    <m/>
    <m/>
    <m/>
    <m/>
    <m/>
    <m/>
  </r>
  <r>
    <x v="43"/>
    <x v="33"/>
    <m/>
    <m/>
    <m/>
    <m/>
    <m/>
    <m/>
    <m/>
    <m/>
    <m/>
    <m/>
    <m/>
    <m/>
    <m/>
    <m/>
    <m/>
    <m/>
    <m/>
  </r>
  <r>
    <x v="43"/>
    <x v="34"/>
    <m/>
    <m/>
    <m/>
    <m/>
    <m/>
    <m/>
    <m/>
    <m/>
    <m/>
    <m/>
    <m/>
    <m/>
    <m/>
    <m/>
    <m/>
    <m/>
    <m/>
  </r>
  <r>
    <x v="43"/>
    <x v="79"/>
    <m/>
    <m/>
    <m/>
    <m/>
    <m/>
    <m/>
    <m/>
    <m/>
    <m/>
    <m/>
    <m/>
    <m/>
    <m/>
    <m/>
    <m/>
    <m/>
    <m/>
  </r>
  <r>
    <x v="43"/>
    <x v="35"/>
    <m/>
    <m/>
    <m/>
    <m/>
    <m/>
    <m/>
    <m/>
    <m/>
    <m/>
    <m/>
    <m/>
    <m/>
    <m/>
    <m/>
    <m/>
    <m/>
    <m/>
  </r>
  <r>
    <x v="43"/>
    <x v="36"/>
    <m/>
    <m/>
    <m/>
    <m/>
    <m/>
    <m/>
    <m/>
    <m/>
    <m/>
    <m/>
    <m/>
    <m/>
    <m/>
    <m/>
    <m/>
    <m/>
    <m/>
  </r>
  <r>
    <x v="43"/>
    <x v="37"/>
    <m/>
    <m/>
    <m/>
    <m/>
    <m/>
    <m/>
    <m/>
    <m/>
    <m/>
    <m/>
    <m/>
    <m/>
    <m/>
    <m/>
    <m/>
    <m/>
    <m/>
  </r>
  <r>
    <x v="43"/>
    <x v="38"/>
    <m/>
    <m/>
    <m/>
    <m/>
    <m/>
    <m/>
    <m/>
    <m/>
    <m/>
    <m/>
    <m/>
    <m/>
    <m/>
    <m/>
    <m/>
    <m/>
    <m/>
  </r>
  <r>
    <x v="43"/>
    <x v="39"/>
    <m/>
    <m/>
    <m/>
    <m/>
    <m/>
    <m/>
    <m/>
    <m/>
    <m/>
    <m/>
    <m/>
    <m/>
    <m/>
    <m/>
    <m/>
    <m/>
    <m/>
  </r>
  <r>
    <x v="43"/>
    <x v="41"/>
    <m/>
    <m/>
    <m/>
    <m/>
    <m/>
    <m/>
    <m/>
    <m/>
    <m/>
    <m/>
    <m/>
    <m/>
    <m/>
    <m/>
    <m/>
    <m/>
    <m/>
  </r>
  <r>
    <x v="43"/>
    <x v="42"/>
    <m/>
    <m/>
    <m/>
    <m/>
    <m/>
    <m/>
    <n v="1"/>
    <m/>
    <m/>
    <m/>
    <m/>
    <m/>
    <m/>
    <m/>
    <m/>
    <m/>
    <m/>
  </r>
  <r>
    <x v="43"/>
    <x v="43"/>
    <m/>
    <m/>
    <m/>
    <m/>
    <m/>
    <m/>
    <m/>
    <m/>
    <m/>
    <m/>
    <m/>
    <m/>
    <m/>
    <m/>
    <m/>
    <m/>
    <m/>
  </r>
  <r>
    <x v="43"/>
    <x v="44"/>
    <m/>
    <m/>
    <m/>
    <m/>
    <m/>
    <m/>
    <m/>
    <m/>
    <m/>
    <m/>
    <m/>
    <m/>
    <m/>
    <m/>
    <m/>
    <m/>
    <m/>
  </r>
  <r>
    <x v="43"/>
    <x v="45"/>
    <m/>
    <m/>
    <m/>
    <m/>
    <m/>
    <m/>
    <m/>
    <m/>
    <m/>
    <m/>
    <m/>
    <m/>
    <m/>
    <m/>
    <m/>
    <m/>
    <m/>
  </r>
  <r>
    <x v="43"/>
    <x v="46"/>
    <m/>
    <m/>
    <m/>
    <m/>
    <m/>
    <m/>
    <m/>
    <m/>
    <m/>
    <m/>
    <m/>
    <m/>
    <m/>
    <m/>
    <m/>
    <m/>
    <m/>
  </r>
  <r>
    <x v="43"/>
    <x v="80"/>
    <m/>
    <m/>
    <m/>
    <m/>
    <m/>
    <m/>
    <m/>
    <m/>
    <m/>
    <m/>
    <m/>
    <m/>
    <m/>
    <m/>
    <m/>
    <m/>
    <m/>
  </r>
  <r>
    <x v="43"/>
    <x v="48"/>
    <m/>
    <m/>
    <m/>
    <m/>
    <m/>
    <m/>
    <n v="1"/>
    <m/>
    <m/>
    <m/>
    <m/>
    <m/>
    <m/>
    <m/>
    <m/>
    <m/>
    <m/>
  </r>
  <r>
    <x v="43"/>
    <x v="49"/>
    <m/>
    <m/>
    <m/>
    <m/>
    <m/>
    <m/>
    <m/>
    <m/>
    <m/>
    <m/>
    <m/>
    <m/>
    <m/>
    <m/>
    <m/>
    <m/>
    <m/>
  </r>
  <r>
    <x v="43"/>
    <x v="50"/>
    <m/>
    <m/>
    <m/>
    <m/>
    <m/>
    <m/>
    <n v="1"/>
    <m/>
    <m/>
    <m/>
    <m/>
    <m/>
    <m/>
    <m/>
    <m/>
    <m/>
    <m/>
  </r>
  <r>
    <x v="43"/>
    <x v="51"/>
    <m/>
    <m/>
    <m/>
    <m/>
    <m/>
    <m/>
    <m/>
    <m/>
    <m/>
    <m/>
    <m/>
    <m/>
    <m/>
    <m/>
    <m/>
    <m/>
    <m/>
  </r>
  <r>
    <x v="44"/>
    <x v="0"/>
    <m/>
    <m/>
    <m/>
    <m/>
    <m/>
    <m/>
    <m/>
    <m/>
    <m/>
    <m/>
    <m/>
    <m/>
    <m/>
    <m/>
    <m/>
    <m/>
    <m/>
  </r>
  <r>
    <x v="44"/>
    <x v="1"/>
    <m/>
    <m/>
    <m/>
    <m/>
    <m/>
    <m/>
    <m/>
    <m/>
    <m/>
    <m/>
    <m/>
    <m/>
    <m/>
    <m/>
    <m/>
    <m/>
    <m/>
  </r>
  <r>
    <x v="44"/>
    <x v="2"/>
    <m/>
    <m/>
    <m/>
    <m/>
    <m/>
    <m/>
    <m/>
    <m/>
    <m/>
    <m/>
    <m/>
    <m/>
    <m/>
    <m/>
    <m/>
    <m/>
    <m/>
  </r>
  <r>
    <x v="44"/>
    <x v="3"/>
    <m/>
    <m/>
    <m/>
    <m/>
    <m/>
    <m/>
    <m/>
    <m/>
    <m/>
    <m/>
    <m/>
    <m/>
    <m/>
    <m/>
    <m/>
    <m/>
    <m/>
  </r>
  <r>
    <x v="44"/>
    <x v="4"/>
    <m/>
    <m/>
    <m/>
    <m/>
    <m/>
    <m/>
    <m/>
    <m/>
    <m/>
    <m/>
    <m/>
    <m/>
    <m/>
    <m/>
    <m/>
    <m/>
    <m/>
  </r>
  <r>
    <x v="44"/>
    <x v="5"/>
    <m/>
    <m/>
    <m/>
    <m/>
    <m/>
    <m/>
    <m/>
    <m/>
    <m/>
    <m/>
    <m/>
    <m/>
    <m/>
    <m/>
    <m/>
    <m/>
    <m/>
  </r>
  <r>
    <x v="44"/>
    <x v="6"/>
    <m/>
    <m/>
    <m/>
    <m/>
    <m/>
    <m/>
    <m/>
    <m/>
    <m/>
    <m/>
    <m/>
    <m/>
    <m/>
    <m/>
    <m/>
    <m/>
    <m/>
  </r>
  <r>
    <x v="44"/>
    <x v="7"/>
    <m/>
    <m/>
    <m/>
    <m/>
    <m/>
    <m/>
    <m/>
    <m/>
    <m/>
    <m/>
    <m/>
    <m/>
    <m/>
    <m/>
    <m/>
    <m/>
    <m/>
  </r>
  <r>
    <x v="44"/>
    <x v="8"/>
    <m/>
    <m/>
    <m/>
    <m/>
    <m/>
    <m/>
    <m/>
    <m/>
    <m/>
    <m/>
    <m/>
    <m/>
    <m/>
    <m/>
    <m/>
    <m/>
    <m/>
  </r>
  <r>
    <x v="44"/>
    <x v="9"/>
    <m/>
    <m/>
    <m/>
    <m/>
    <m/>
    <m/>
    <m/>
    <m/>
    <m/>
    <m/>
    <m/>
    <m/>
    <m/>
    <m/>
    <m/>
    <m/>
    <m/>
  </r>
  <r>
    <x v="44"/>
    <x v="10"/>
    <m/>
    <m/>
    <m/>
    <m/>
    <m/>
    <m/>
    <m/>
    <m/>
    <m/>
    <m/>
    <m/>
    <m/>
    <m/>
    <m/>
    <m/>
    <m/>
    <m/>
  </r>
  <r>
    <x v="44"/>
    <x v="11"/>
    <m/>
    <m/>
    <m/>
    <m/>
    <m/>
    <m/>
    <m/>
    <m/>
    <m/>
    <m/>
    <m/>
    <m/>
    <m/>
    <m/>
    <m/>
    <m/>
    <m/>
  </r>
  <r>
    <x v="44"/>
    <x v="12"/>
    <m/>
    <m/>
    <m/>
    <m/>
    <m/>
    <m/>
    <m/>
    <m/>
    <m/>
    <m/>
    <m/>
    <m/>
    <m/>
    <m/>
    <m/>
    <m/>
    <m/>
  </r>
  <r>
    <x v="44"/>
    <x v="13"/>
    <m/>
    <m/>
    <m/>
    <m/>
    <m/>
    <m/>
    <m/>
    <m/>
    <m/>
    <m/>
    <m/>
    <m/>
    <m/>
    <m/>
    <m/>
    <m/>
    <m/>
  </r>
  <r>
    <x v="44"/>
    <x v="14"/>
    <m/>
    <m/>
    <m/>
    <m/>
    <m/>
    <m/>
    <m/>
    <m/>
    <m/>
    <m/>
    <m/>
    <m/>
    <m/>
    <m/>
    <m/>
    <m/>
    <m/>
  </r>
  <r>
    <x v="44"/>
    <x v="15"/>
    <m/>
    <m/>
    <m/>
    <m/>
    <m/>
    <m/>
    <m/>
    <m/>
    <m/>
    <m/>
    <m/>
    <m/>
    <m/>
    <m/>
    <m/>
    <m/>
    <m/>
  </r>
  <r>
    <x v="44"/>
    <x v="16"/>
    <m/>
    <m/>
    <m/>
    <m/>
    <m/>
    <m/>
    <m/>
    <m/>
    <m/>
    <m/>
    <m/>
    <m/>
    <m/>
    <m/>
    <m/>
    <m/>
    <m/>
  </r>
  <r>
    <x v="44"/>
    <x v="17"/>
    <m/>
    <m/>
    <m/>
    <m/>
    <m/>
    <m/>
    <m/>
    <m/>
    <m/>
    <m/>
    <m/>
    <m/>
    <m/>
    <m/>
    <m/>
    <m/>
    <m/>
  </r>
  <r>
    <x v="44"/>
    <x v="18"/>
    <m/>
    <m/>
    <m/>
    <m/>
    <m/>
    <m/>
    <m/>
    <m/>
    <m/>
    <m/>
    <m/>
    <m/>
    <m/>
    <m/>
    <m/>
    <m/>
    <m/>
  </r>
  <r>
    <x v="44"/>
    <x v="19"/>
    <m/>
    <m/>
    <m/>
    <m/>
    <m/>
    <m/>
    <m/>
    <m/>
    <m/>
    <m/>
    <m/>
    <m/>
    <m/>
    <m/>
    <m/>
    <m/>
    <m/>
  </r>
  <r>
    <x v="44"/>
    <x v="20"/>
    <m/>
    <m/>
    <m/>
    <m/>
    <m/>
    <m/>
    <m/>
    <m/>
    <m/>
    <m/>
    <m/>
    <m/>
    <m/>
    <m/>
    <m/>
    <m/>
    <m/>
  </r>
  <r>
    <x v="44"/>
    <x v="21"/>
    <m/>
    <m/>
    <m/>
    <m/>
    <m/>
    <m/>
    <m/>
    <m/>
    <m/>
    <m/>
    <m/>
    <m/>
    <m/>
    <m/>
    <m/>
    <m/>
    <m/>
  </r>
  <r>
    <x v="44"/>
    <x v="22"/>
    <m/>
    <m/>
    <m/>
    <m/>
    <m/>
    <m/>
    <m/>
    <m/>
    <m/>
    <m/>
    <m/>
    <m/>
    <m/>
    <m/>
    <m/>
    <m/>
    <m/>
  </r>
  <r>
    <x v="44"/>
    <x v="23"/>
    <m/>
    <m/>
    <m/>
    <m/>
    <m/>
    <m/>
    <m/>
    <m/>
    <m/>
    <m/>
    <m/>
    <m/>
    <m/>
    <m/>
    <m/>
    <m/>
    <m/>
  </r>
  <r>
    <x v="44"/>
    <x v="24"/>
    <m/>
    <m/>
    <m/>
    <m/>
    <m/>
    <m/>
    <m/>
    <m/>
    <m/>
    <m/>
    <m/>
    <m/>
    <m/>
    <m/>
    <m/>
    <m/>
    <m/>
  </r>
  <r>
    <x v="44"/>
    <x v="25"/>
    <m/>
    <m/>
    <m/>
    <m/>
    <m/>
    <m/>
    <m/>
    <m/>
    <m/>
    <m/>
    <m/>
    <m/>
    <m/>
    <m/>
    <m/>
    <m/>
    <m/>
  </r>
  <r>
    <x v="44"/>
    <x v="26"/>
    <m/>
    <m/>
    <m/>
    <m/>
    <m/>
    <m/>
    <m/>
    <m/>
    <m/>
    <m/>
    <m/>
    <m/>
    <m/>
    <m/>
    <m/>
    <m/>
    <m/>
  </r>
  <r>
    <x v="44"/>
    <x v="27"/>
    <m/>
    <m/>
    <m/>
    <m/>
    <m/>
    <m/>
    <m/>
    <m/>
    <m/>
    <m/>
    <m/>
    <m/>
    <m/>
    <m/>
    <m/>
    <m/>
    <m/>
  </r>
  <r>
    <x v="44"/>
    <x v="28"/>
    <m/>
    <m/>
    <m/>
    <m/>
    <m/>
    <m/>
    <m/>
    <m/>
    <m/>
    <m/>
    <m/>
    <m/>
    <m/>
    <m/>
    <m/>
    <m/>
    <m/>
  </r>
  <r>
    <x v="44"/>
    <x v="29"/>
    <m/>
    <m/>
    <m/>
    <m/>
    <m/>
    <m/>
    <m/>
    <m/>
    <m/>
    <m/>
    <m/>
    <m/>
    <m/>
    <m/>
    <m/>
    <m/>
    <m/>
  </r>
  <r>
    <x v="44"/>
    <x v="30"/>
    <m/>
    <m/>
    <m/>
    <m/>
    <m/>
    <m/>
    <m/>
    <m/>
    <m/>
    <m/>
    <m/>
    <m/>
    <m/>
    <m/>
    <m/>
    <m/>
    <m/>
  </r>
  <r>
    <x v="44"/>
    <x v="31"/>
    <n v="1"/>
    <m/>
    <n v="1"/>
    <m/>
    <m/>
    <m/>
    <n v="3"/>
    <n v="1"/>
    <n v="1"/>
    <m/>
    <n v="4"/>
    <n v="4"/>
    <n v="4"/>
    <n v="4"/>
    <n v="1"/>
    <n v="4"/>
    <m/>
  </r>
  <r>
    <x v="44"/>
    <x v="32"/>
    <m/>
    <m/>
    <m/>
    <m/>
    <m/>
    <m/>
    <m/>
    <m/>
    <m/>
    <m/>
    <m/>
    <m/>
    <m/>
    <m/>
    <m/>
    <m/>
    <m/>
  </r>
  <r>
    <x v="44"/>
    <x v="33"/>
    <m/>
    <m/>
    <m/>
    <m/>
    <m/>
    <m/>
    <m/>
    <m/>
    <m/>
    <m/>
    <m/>
    <m/>
    <m/>
    <m/>
    <m/>
    <m/>
    <m/>
  </r>
  <r>
    <x v="44"/>
    <x v="34"/>
    <m/>
    <m/>
    <m/>
    <m/>
    <m/>
    <m/>
    <m/>
    <m/>
    <m/>
    <m/>
    <m/>
    <m/>
    <m/>
    <m/>
    <m/>
    <m/>
    <m/>
  </r>
  <r>
    <x v="44"/>
    <x v="35"/>
    <n v="3"/>
    <m/>
    <m/>
    <m/>
    <m/>
    <m/>
    <n v="2"/>
    <n v="3"/>
    <n v="2"/>
    <n v="2"/>
    <n v="5"/>
    <n v="2"/>
    <n v="2"/>
    <n v="4"/>
    <n v="2"/>
    <n v="2"/>
    <m/>
  </r>
  <r>
    <x v="44"/>
    <x v="36"/>
    <m/>
    <m/>
    <m/>
    <m/>
    <m/>
    <m/>
    <m/>
    <m/>
    <m/>
    <m/>
    <m/>
    <m/>
    <m/>
    <m/>
    <m/>
    <m/>
    <m/>
  </r>
  <r>
    <x v="44"/>
    <x v="37"/>
    <m/>
    <m/>
    <m/>
    <m/>
    <m/>
    <m/>
    <m/>
    <m/>
    <m/>
    <m/>
    <m/>
    <m/>
    <m/>
    <m/>
    <m/>
    <m/>
    <m/>
  </r>
  <r>
    <x v="44"/>
    <x v="38"/>
    <m/>
    <m/>
    <m/>
    <m/>
    <m/>
    <m/>
    <m/>
    <m/>
    <m/>
    <m/>
    <m/>
    <m/>
    <m/>
    <m/>
    <m/>
    <m/>
    <m/>
  </r>
  <r>
    <x v="44"/>
    <x v="39"/>
    <m/>
    <m/>
    <m/>
    <m/>
    <m/>
    <m/>
    <m/>
    <m/>
    <m/>
    <m/>
    <m/>
    <m/>
    <m/>
    <m/>
    <m/>
    <m/>
    <m/>
  </r>
  <r>
    <x v="44"/>
    <x v="40"/>
    <m/>
    <m/>
    <m/>
    <m/>
    <m/>
    <m/>
    <m/>
    <m/>
    <m/>
    <m/>
    <m/>
    <m/>
    <m/>
    <m/>
    <m/>
    <m/>
    <m/>
  </r>
  <r>
    <x v="44"/>
    <x v="41"/>
    <m/>
    <m/>
    <m/>
    <m/>
    <m/>
    <m/>
    <m/>
    <m/>
    <m/>
    <m/>
    <m/>
    <m/>
    <m/>
    <m/>
    <m/>
    <m/>
    <m/>
  </r>
  <r>
    <x v="44"/>
    <x v="42"/>
    <m/>
    <m/>
    <m/>
    <m/>
    <m/>
    <m/>
    <m/>
    <m/>
    <m/>
    <m/>
    <m/>
    <n v="3"/>
    <m/>
    <n v="3"/>
    <m/>
    <m/>
    <m/>
  </r>
  <r>
    <x v="44"/>
    <x v="43"/>
    <m/>
    <m/>
    <m/>
    <m/>
    <m/>
    <m/>
    <m/>
    <m/>
    <m/>
    <m/>
    <m/>
    <m/>
    <m/>
    <m/>
    <m/>
    <m/>
    <m/>
  </r>
  <r>
    <x v="44"/>
    <x v="44"/>
    <m/>
    <m/>
    <m/>
    <m/>
    <m/>
    <m/>
    <m/>
    <m/>
    <m/>
    <m/>
    <m/>
    <m/>
    <m/>
    <m/>
    <m/>
    <m/>
    <m/>
  </r>
  <r>
    <x v="44"/>
    <x v="45"/>
    <m/>
    <m/>
    <m/>
    <m/>
    <m/>
    <m/>
    <m/>
    <m/>
    <m/>
    <m/>
    <m/>
    <m/>
    <m/>
    <m/>
    <m/>
    <m/>
    <m/>
  </r>
  <r>
    <x v="44"/>
    <x v="46"/>
    <m/>
    <m/>
    <m/>
    <m/>
    <m/>
    <m/>
    <m/>
    <m/>
    <m/>
    <m/>
    <m/>
    <m/>
    <m/>
    <m/>
    <m/>
    <m/>
    <m/>
  </r>
  <r>
    <x v="44"/>
    <x v="47"/>
    <m/>
    <m/>
    <m/>
    <m/>
    <m/>
    <m/>
    <m/>
    <m/>
    <m/>
    <m/>
    <m/>
    <m/>
    <m/>
    <m/>
    <m/>
    <m/>
    <m/>
  </r>
  <r>
    <x v="44"/>
    <x v="48"/>
    <m/>
    <m/>
    <m/>
    <m/>
    <m/>
    <m/>
    <m/>
    <m/>
    <m/>
    <m/>
    <m/>
    <m/>
    <m/>
    <m/>
    <m/>
    <m/>
    <m/>
  </r>
  <r>
    <x v="44"/>
    <x v="49"/>
    <m/>
    <m/>
    <m/>
    <m/>
    <m/>
    <m/>
    <m/>
    <m/>
    <m/>
    <m/>
    <m/>
    <m/>
    <m/>
    <m/>
    <m/>
    <m/>
    <m/>
  </r>
  <r>
    <x v="44"/>
    <x v="50"/>
    <m/>
    <m/>
    <m/>
    <m/>
    <m/>
    <m/>
    <m/>
    <m/>
    <m/>
    <m/>
    <m/>
    <m/>
    <m/>
    <m/>
    <m/>
    <m/>
    <m/>
  </r>
  <r>
    <x v="44"/>
    <x v="51"/>
    <m/>
    <m/>
    <m/>
    <m/>
    <m/>
    <m/>
    <m/>
    <m/>
    <m/>
    <m/>
    <m/>
    <m/>
    <m/>
    <m/>
    <m/>
    <m/>
    <m/>
  </r>
  <r>
    <x v="45"/>
    <x v="0"/>
    <m/>
    <n v="1"/>
    <m/>
    <n v="1"/>
    <m/>
    <n v="1"/>
    <m/>
    <n v="3"/>
    <m/>
    <n v="1"/>
    <m/>
    <m/>
    <m/>
    <m/>
    <m/>
    <n v="2"/>
    <m/>
  </r>
  <r>
    <x v="45"/>
    <x v="1"/>
    <m/>
    <m/>
    <m/>
    <m/>
    <m/>
    <m/>
    <m/>
    <m/>
    <m/>
    <m/>
    <m/>
    <m/>
    <m/>
    <m/>
    <m/>
    <m/>
    <m/>
  </r>
  <r>
    <x v="45"/>
    <x v="2"/>
    <m/>
    <m/>
    <m/>
    <m/>
    <m/>
    <m/>
    <m/>
    <m/>
    <m/>
    <m/>
    <m/>
    <m/>
    <m/>
    <m/>
    <m/>
    <m/>
    <m/>
  </r>
  <r>
    <x v="45"/>
    <x v="3"/>
    <m/>
    <m/>
    <m/>
    <m/>
    <m/>
    <m/>
    <m/>
    <m/>
    <m/>
    <m/>
    <m/>
    <m/>
    <m/>
    <m/>
    <m/>
    <m/>
    <m/>
  </r>
  <r>
    <x v="45"/>
    <x v="4"/>
    <m/>
    <m/>
    <m/>
    <m/>
    <m/>
    <m/>
    <m/>
    <m/>
    <m/>
    <m/>
    <m/>
    <m/>
    <m/>
    <m/>
    <m/>
    <m/>
    <m/>
  </r>
  <r>
    <x v="45"/>
    <x v="5"/>
    <m/>
    <m/>
    <m/>
    <m/>
    <m/>
    <m/>
    <m/>
    <m/>
    <m/>
    <m/>
    <m/>
    <m/>
    <m/>
    <m/>
    <m/>
    <m/>
    <m/>
  </r>
  <r>
    <x v="45"/>
    <x v="6"/>
    <m/>
    <m/>
    <m/>
    <m/>
    <m/>
    <m/>
    <m/>
    <m/>
    <m/>
    <m/>
    <m/>
    <m/>
    <m/>
    <m/>
    <m/>
    <m/>
    <m/>
  </r>
  <r>
    <x v="45"/>
    <x v="7"/>
    <m/>
    <m/>
    <m/>
    <m/>
    <m/>
    <m/>
    <m/>
    <m/>
    <m/>
    <m/>
    <m/>
    <m/>
    <m/>
    <m/>
    <m/>
    <m/>
    <m/>
  </r>
  <r>
    <x v="45"/>
    <x v="8"/>
    <m/>
    <m/>
    <m/>
    <m/>
    <m/>
    <m/>
    <m/>
    <m/>
    <m/>
    <m/>
    <m/>
    <m/>
    <m/>
    <m/>
    <m/>
    <m/>
    <m/>
  </r>
  <r>
    <x v="45"/>
    <x v="9"/>
    <m/>
    <m/>
    <m/>
    <m/>
    <m/>
    <m/>
    <m/>
    <m/>
    <m/>
    <m/>
    <m/>
    <m/>
    <m/>
    <m/>
    <m/>
    <m/>
    <m/>
  </r>
  <r>
    <x v="45"/>
    <x v="10"/>
    <m/>
    <m/>
    <m/>
    <m/>
    <m/>
    <m/>
    <m/>
    <m/>
    <m/>
    <m/>
    <m/>
    <m/>
    <m/>
    <m/>
    <m/>
    <m/>
    <m/>
  </r>
  <r>
    <x v="45"/>
    <x v="11"/>
    <m/>
    <m/>
    <m/>
    <m/>
    <m/>
    <m/>
    <m/>
    <m/>
    <m/>
    <m/>
    <m/>
    <m/>
    <m/>
    <m/>
    <m/>
    <m/>
    <m/>
  </r>
  <r>
    <x v="45"/>
    <x v="12"/>
    <m/>
    <m/>
    <m/>
    <m/>
    <m/>
    <m/>
    <m/>
    <m/>
    <m/>
    <m/>
    <m/>
    <m/>
    <m/>
    <m/>
    <m/>
    <m/>
    <m/>
  </r>
  <r>
    <x v="45"/>
    <x v="13"/>
    <m/>
    <m/>
    <m/>
    <m/>
    <m/>
    <m/>
    <m/>
    <m/>
    <m/>
    <m/>
    <m/>
    <m/>
    <m/>
    <m/>
    <m/>
    <m/>
    <m/>
  </r>
  <r>
    <x v="45"/>
    <x v="14"/>
    <m/>
    <m/>
    <m/>
    <m/>
    <m/>
    <m/>
    <m/>
    <m/>
    <m/>
    <m/>
    <m/>
    <m/>
    <m/>
    <m/>
    <m/>
    <m/>
    <m/>
  </r>
  <r>
    <x v="45"/>
    <x v="15"/>
    <m/>
    <m/>
    <m/>
    <m/>
    <m/>
    <m/>
    <m/>
    <m/>
    <m/>
    <m/>
    <m/>
    <m/>
    <m/>
    <m/>
    <m/>
    <m/>
    <m/>
  </r>
  <r>
    <x v="45"/>
    <x v="16"/>
    <m/>
    <m/>
    <m/>
    <m/>
    <m/>
    <m/>
    <m/>
    <m/>
    <m/>
    <m/>
    <m/>
    <m/>
    <m/>
    <m/>
    <m/>
    <m/>
    <m/>
  </r>
  <r>
    <x v="45"/>
    <x v="17"/>
    <m/>
    <m/>
    <m/>
    <m/>
    <m/>
    <m/>
    <m/>
    <m/>
    <m/>
    <m/>
    <m/>
    <m/>
    <m/>
    <m/>
    <m/>
    <m/>
    <m/>
  </r>
  <r>
    <x v="45"/>
    <x v="18"/>
    <m/>
    <m/>
    <m/>
    <m/>
    <m/>
    <m/>
    <m/>
    <m/>
    <m/>
    <m/>
    <m/>
    <m/>
    <m/>
    <m/>
    <m/>
    <m/>
    <m/>
  </r>
  <r>
    <x v="45"/>
    <x v="19"/>
    <m/>
    <m/>
    <m/>
    <m/>
    <m/>
    <m/>
    <m/>
    <m/>
    <m/>
    <m/>
    <m/>
    <m/>
    <m/>
    <m/>
    <m/>
    <m/>
    <m/>
  </r>
  <r>
    <x v="45"/>
    <x v="20"/>
    <m/>
    <m/>
    <m/>
    <m/>
    <m/>
    <m/>
    <m/>
    <m/>
    <m/>
    <m/>
    <m/>
    <m/>
    <m/>
    <m/>
    <m/>
    <m/>
    <m/>
  </r>
  <r>
    <x v="45"/>
    <x v="21"/>
    <m/>
    <m/>
    <m/>
    <m/>
    <m/>
    <m/>
    <m/>
    <m/>
    <m/>
    <m/>
    <m/>
    <m/>
    <m/>
    <m/>
    <m/>
    <m/>
    <m/>
  </r>
  <r>
    <x v="45"/>
    <x v="22"/>
    <m/>
    <m/>
    <m/>
    <m/>
    <m/>
    <m/>
    <m/>
    <m/>
    <m/>
    <m/>
    <m/>
    <m/>
    <m/>
    <m/>
    <m/>
    <m/>
    <m/>
  </r>
  <r>
    <x v="45"/>
    <x v="23"/>
    <m/>
    <m/>
    <m/>
    <m/>
    <m/>
    <m/>
    <m/>
    <m/>
    <m/>
    <m/>
    <m/>
    <m/>
    <m/>
    <m/>
    <m/>
    <m/>
    <m/>
  </r>
  <r>
    <x v="45"/>
    <x v="24"/>
    <m/>
    <m/>
    <m/>
    <m/>
    <m/>
    <m/>
    <m/>
    <m/>
    <m/>
    <m/>
    <m/>
    <m/>
    <m/>
    <m/>
    <m/>
    <m/>
    <m/>
  </r>
  <r>
    <x v="45"/>
    <x v="25"/>
    <m/>
    <m/>
    <m/>
    <m/>
    <m/>
    <m/>
    <m/>
    <m/>
    <m/>
    <m/>
    <m/>
    <m/>
    <m/>
    <m/>
    <m/>
    <m/>
    <m/>
  </r>
  <r>
    <x v="45"/>
    <x v="26"/>
    <m/>
    <m/>
    <m/>
    <m/>
    <m/>
    <m/>
    <m/>
    <m/>
    <m/>
    <m/>
    <m/>
    <m/>
    <m/>
    <m/>
    <m/>
    <m/>
    <m/>
  </r>
  <r>
    <x v="45"/>
    <x v="27"/>
    <m/>
    <m/>
    <m/>
    <m/>
    <m/>
    <m/>
    <m/>
    <m/>
    <m/>
    <m/>
    <m/>
    <m/>
    <m/>
    <m/>
    <m/>
    <m/>
    <m/>
  </r>
  <r>
    <x v="45"/>
    <x v="28"/>
    <m/>
    <m/>
    <m/>
    <m/>
    <m/>
    <m/>
    <m/>
    <m/>
    <m/>
    <m/>
    <m/>
    <m/>
    <m/>
    <m/>
    <m/>
    <m/>
    <m/>
  </r>
  <r>
    <x v="45"/>
    <x v="29"/>
    <m/>
    <m/>
    <m/>
    <m/>
    <m/>
    <m/>
    <m/>
    <m/>
    <m/>
    <m/>
    <m/>
    <m/>
    <m/>
    <m/>
    <m/>
    <m/>
    <m/>
  </r>
  <r>
    <x v="45"/>
    <x v="30"/>
    <m/>
    <m/>
    <m/>
    <m/>
    <m/>
    <m/>
    <m/>
    <m/>
    <m/>
    <m/>
    <m/>
    <m/>
    <m/>
    <m/>
    <m/>
    <m/>
    <m/>
  </r>
  <r>
    <x v="45"/>
    <x v="31"/>
    <m/>
    <m/>
    <m/>
    <m/>
    <m/>
    <m/>
    <m/>
    <m/>
    <m/>
    <m/>
    <m/>
    <m/>
    <m/>
    <m/>
    <m/>
    <m/>
    <m/>
  </r>
  <r>
    <x v="45"/>
    <x v="32"/>
    <m/>
    <m/>
    <m/>
    <m/>
    <m/>
    <m/>
    <m/>
    <m/>
    <m/>
    <m/>
    <m/>
    <m/>
    <m/>
    <m/>
    <m/>
    <m/>
    <m/>
  </r>
  <r>
    <x v="45"/>
    <x v="33"/>
    <m/>
    <m/>
    <m/>
    <m/>
    <m/>
    <m/>
    <m/>
    <m/>
    <m/>
    <m/>
    <m/>
    <m/>
    <m/>
    <m/>
    <m/>
    <m/>
    <m/>
  </r>
  <r>
    <x v="45"/>
    <x v="34"/>
    <m/>
    <m/>
    <m/>
    <m/>
    <m/>
    <m/>
    <m/>
    <m/>
    <m/>
    <m/>
    <m/>
    <n v="5"/>
    <m/>
    <m/>
    <m/>
    <m/>
    <m/>
  </r>
  <r>
    <x v="45"/>
    <x v="35"/>
    <m/>
    <m/>
    <m/>
    <m/>
    <m/>
    <m/>
    <m/>
    <m/>
    <m/>
    <m/>
    <m/>
    <m/>
    <m/>
    <m/>
    <m/>
    <m/>
    <m/>
  </r>
  <r>
    <x v="45"/>
    <x v="36"/>
    <m/>
    <m/>
    <m/>
    <m/>
    <m/>
    <m/>
    <m/>
    <m/>
    <m/>
    <m/>
    <m/>
    <m/>
    <m/>
    <m/>
    <m/>
    <m/>
    <m/>
  </r>
  <r>
    <x v="45"/>
    <x v="37"/>
    <m/>
    <m/>
    <m/>
    <m/>
    <m/>
    <m/>
    <m/>
    <m/>
    <m/>
    <m/>
    <m/>
    <m/>
    <m/>
    <m/>
    <m/>
    <m/>
    <m/>
  </r>
  <r>
    <x v="45"/>
    <x v="38"/>
    <m/>
    <m/>
    <m/>
    <m/>
    <m/>
    <m/>
    <m/>
    <m/>
    <m/>
    <m/>
    <m/>
    <m/>
    <m/>
    <m/>
    <m/>
    <m/>
    <m/>
  </r>
  <r>
    <x v="45"/>
    <x v="39"/>
    <m/>
    <m/>
    <m/>
    <m/>
    <m/>
    <m/>
    <m/>
    <m/>
    <m/>
    <m/>
    <m/>
    <m/>
    <m/>
    <m/>
    <m/>
    <m/>
    <m/>
  </r>
  <r>
    <x v="45"/>
    <x v="40"/>
    <m/>
    <m/>
    <m/>
    <m/>
    <m/>
    <m/>
    <m/>
    <m/>
    <m/>
    <m/>
    <m/>
    <m/>
    <m/>
    <m/>
    <m/>
    <m/>
    <m/>
  </r>
  <r>
    <x v="45"/>
    <x v="41"/>
    <m/>
    <m/>
    <m/>
    <m/>
    <m/>
    <m/>
    <m/>
    <m/>
    <m/>
    <m/>
    <m/>
    <m/>
    <m/>
    <m/>
    <m/>
    <m/>
    <m/>
  </r>
  <r>
    <x v="45"/>
    <x v="42"/>
    <m/>
    <m/>
    <m/>
    <m/>
    <m/>
    <m/>
    <m/>
    <m/>
    <m/>
    <m/>
    <m/>
    <m/>
    <m/>
    <m/>
    <m/>
    <m/>
    <m/>
  </r>
  <r>
    <x v="45"/>
    <x v="43"/>
    <m/>
    <m/>
    <m/>
    <m/>
    <m/>
    <m/>
    <m/>
    <m/>
    <m/>
    <m/>
    <m/>
    <m/>
    <m/>
    <m/>
    <m/>
    <m/>
    <m/>
  </r>
  <r>
    <x v="45"/>
    <x v="44"/>
    <m/>
    <m/>
    <m/>
    <m/>
    <m/>
    <m/>
    <m/>
    <m/>
    <m/>
    <m/>
    <m/>
    <m/>
    <m/>
    <m/>
    <m/>
    <m/>
    <m/>
  </r>
  <r>
    <x v="45"/>
    <x v="45"/>
    <m/>
    <m/>
    <m/>
    <m/>
    <m/>
    <m/>
    <m/>
    <m/>
    <m/>
    <m/>
    <m/>
    <m/>
    <m/>
    <m/>
    <m/>
    <m/>
    <m/>
  </r>
  <r>
    <x v="45"/>
    <x v="46"/>
    <m/>
    <m/>
    <m/>
    <m/>
    <m/>
    <m/>
    <m/>
    <m/>
    <m/>
    <m/>
    <m/>
    <m/>
    <m/>
    <m/>
    <m/>
    <m/>
    <m/>
  </r>
  <r>
    <x v="45"/>
    <x v="47"/>
    <m/>
    <m/>
    <m/>
    <m/>
    <m/>
    <m/>
    <m/>
    <m/>
    <m/>
    <m/>
    <m/>
    <m/>
    <m/>
    <m/>
    <m/>
    <m/>
    <m/>
  </r>
  <r>
    <x v="45"/>
    <x v="48"/>
    <m/>
    <m/>
    <m/>
    <m/>
    <m/>
    <m/>
    <m/>
    <m/>
    <m/>
    <m/>
    <m/>
    <m/>
    <m/>
    <m/>
    <m/>
    <m/>
    <m/>
  </r>
  <r>
    <x v="45"/>
    <x v="49"/>
    <m/>
    <m/>
    <m/>
    <m/>
    <m/>
    <m/>
    <m/>
    <n v="9"/>
    <m/>
    <m/>
    <m/>
    <m/>
    <m/>
    <m/>
    <m/>
    <m/>
    <m/>
  </r>
  <r>
    <x v="45"/>
    <x v="50"/>
    <m/>
    <m/>
    <m/>
    <m/>
    <m/>
    <m/>
    <m/>
    <m/>
    <m/>
    <m/>
    <m/>
    <m/>
    <m/>
    <m/>
    <m/>
    <m/>
    <m/>
  </r>
  <r>
    <x v="45"/>
    <x v="51"/>
    <m/>
    <m/>
    <m/>
    <m/>
    <m/>
    <m/>
    <m/>
    <m/>
    <m/>
    <m/>
    <m/>
    <m/>
    <m/>
    <m/>
    <m/>
    <m/>
    <m/>
  </r>
  <r>
    <x v="46"/>
    <x v="0"/>
    <m/>
    <m/>
    <m/>
    <m/>
    <m/>
    <m/>
    <m/>
    <m/>
    <m/>
    <m/>
    <m/>
    <m/>
    <m/>
    <m/>
    <m/>
    <m/>
    <m/>
  </r>
  <r>
    <x v="46"/>
    <x v="1"/>
    <m/>
    <m/>
    <m/>
    <m/>
    <m/>
    <m/>
    <m/>
    <m/>
    <m/>
    <m/>
    <m/>
    <m/>
    <m/>
    <m/>
    <m/>
    <m/>
    <m/>
  </r>
  <r>
    <x v="46"/>
    <x v="2"/>
    <m/>
    <m/>
    <m/>
    <m/>
    <m/>
    <m/>
    <m/>
    <m/>
    <m/>
    <m/>
    <m/>
    <m/>
    <m/>
    <m/>
    <m/>
    <m/>
    <m/>
  </r>
  <r>
    <x v="46"/>
    <x v="3"/>
    <m/>
    <m/>
    <m/>
    <m/>
    <m/>
    <m/>
    <m/>
    <m/>
    <m/>
    <m/>
    <m/>
    <m/>
    <m/>
    <m/>
    <m/>
    <m/>
    <m/>
  </r>
  <r>
    <x v="46"/>
    <x v="4"/>
    <m/>
    <m/>
    <m/>
    <m/>
    <m/>
    <m/>
    <m/>
    <m/>
    <m/>
    <m/>
    <m/>
    <m/>
    <m/>
    <m/>
    <m/>
    <m/>
    <m/>
  </r>
  <r>
    <x v="46"/>
    <x v="5"/>
    <m/>
    <m/>
    <m/>
    <m/>
    <m/>
    <m/>
    <m/>
    <m/>
    <m/>
    <m/>
    <m/>
    <m/>
    <m/>
    <m/>
    <m/>
    <m/>
    <m/>
  </r>
  <r>
    <x v="46"/>
    <x v="6"/>
    <m/>
    <m/>
    <m/>
    <m/>
    <m/>
    <m/>
    <m/>
    <m/>
    <m/>
    <m/>
    <m/>
    <m/>
    <m/>
    <m/>
    <m/>
    <m/>
    <m/>
  </r>
  <r>
    <x v="46"/>
    <x v="7"/>
    <m/>
    <m/>
    <m/>
    <m/>
    <m/>
    <m/>
    <m/>
    <m/>
    <m/>
    <m/>
    <m/>
    <m/>
    <m/>
    <m/>
    <m/>
    <m/>
    <m/>
  </r>
  <r>
    <x v="46"/>
    <x v="8"/>
    <m/>
    <m/>
    <m/>
    <m/>
    <m/>
    <m/>
    <m/>
    <m/>
    <m/>
    <m/>
    <m/>
    <m/>
    <m/>
    <m/>
    <m/>
    <m/>
    <m/>
  </r>
  <r>
    <x v="46"/>
    <x v="9"/>
    <m/>
    <m/>
    <m/>
    <m/>
    <m/>
    <m/>
    <m/>
    <m/>
    <m/>
    <m/>
    <m/>
    <m/>
    <m/>
    <m/>
    <m/>
    <m/>
    <m/>
  </r>
  <r>
    <x v="46"/>
    <x v="10"/>
    <m/>
    <m/>
    <m/>
    <m/>
    <m/>
    <m/>
    <m/>
    <m/>
    <m/>
    <m/>
    <m/>
    <m/>
    <m/>
    <m/>
    <m/>
    <m/>
    <m/>
  </r>
  <r>
    <x v="46"/>
    <x v="11"/>
    <m/>
    <m/>
    <m/>
    <m/>
    <m/>
    <m/>
    <m/>
    <m/>
    <m/>
    <m/>
    <m/>
    <m/>
    <m/>
    <m/>
    <m/>
    <m/>
    <m/>
  </r>
  <r>
    <x v="46"/>
    <x v="12"/>
    <m/>
    <m/>
    <m/>
    <m/>
    <m/>
    <m/>
    <m/>
    <m/>
    <m/>
    <m/>
    <m/>
    <m/>
    <m/>
    <m/>
    <m/>
    <m/>
    <m/>
  </r>
  <r>
    <x v="46"/>
    <x v="13"/>
    <m/>
    <m/>
    <m/>
    <m/>
    <m/>
    <m/>
    <m/>
    <m/>
    <m/>
    <m/>
    <m/>
    <m/>
    <m/>
    <m/>
    <m/>
    <m/>
    <m/>
  </r>
  <r>
    <x v="46"/>
    <x v="14"/>
    <m/>
    <m/>
    <m/>
    <m/>
    <m/>
    <m/>
    <m/>
    <m/>
    <m/>
    <m/>
    <m/>
    <m/>
    <m/>
    <m/>
    <m/>
    <m/>
    <m/>
  </r>
  <r>
    <x v="46"/>
    <x v="15"/>
    <m/>
    <m/>
    <m/>
    <m/>
    <m/>
    <m/>
    <m/>
    <n v="3"/>
    <m/>
    <n v="6"/>
    <m/>
    <m/>
    <m/>
    <n v="4"/>
    <m/>
    <m/>
    <m/>
  </r>
  <r>
    <x v="46"/>
    <x v="16"/>
    <m/>
    <m/>
    <m/>
    <m/>
    <m/>
    <m/>
    <m/>
    <m/>
    <m/>
    <m/>
    <m/>
    <m/>
    <m/>
    <m/>
    <m/>
    <m/>
    <m/>
  </r>
  <r>
    <x v="46"/>
    <x v="17"/>
    <m/>
    <m/>
    <m/>
    <m/>
    <m/>
    <m/>
    <m/>
    <m/>
    <m/>
    <m/>
    <m/>
    <m/>
    <m/>
    <m/>
    <m/>
    <m/>
    <m/>
  </r>
  <r>
    <x v="46"/>
    <x v="18"/>
    <m/>
    <m/>
    <m/>
    <m/>
    <m/>
    <m/>
    <m/>
    <m/>
    <m/>
    <m/>
    <m/>
    <m/>
    <m/>
    <m/>
    <m/>
    <m/>
    <m/>
  </r>
  <r>
    <x v="46"/>
    <x v="19"/>
    <m/>
    <m/>
    <m/>
    <m/>
    <m/>
    <m/>
    <m/>
    <m/>
    <m/>
    <m/>
    <m/>
    <m/>
    <m/>
    <m/>
    <m/>
    <m/>
    <m/>
  </r>
  <r>
    <x v="46"/>
    <x v="20"/>
    <m/>
    <m/>
    <m/>
    <m/>
    <m/>
    <m/>
    <m/>
    <m/>
    <m/>
    <m/>
    <m/>
    <m/>
    <m/>
    <m/>
    <m/>
    <m/>
    <m/>
  </r>
  <r>
    <x v="46"/>
    <x v="21"/>
    <m/>
    <m/>
    <m/>
    <m/>
    <m/>
    <m/>
    <m/>
    <m/>
    <m/>
    <m/>
    <m/>
    <m/>
    <m/>
    <m/>
    <m/>
    <m/>
    <m/>
  </r>
  <r>
    <x v="46"/>
    <x v="22"/>
    <m/>
    <m/>
    <m/>
    <m/>
    <m/>
    <m/>
    <m/>
    <m/>
    <m/>
    <m/>
    <m/>
    <m/>
    <m/>
    <m/>
    <m/>
    <m/>
    <m/>
  </r>
  <r>
    <x v="46"/>
    <x v="23"/>
    <m/>
    <m/>
    <m/>
    <m/>
    <m/>
    <m/>
    <m/>
    <m/>
    <m/>
    <m/>
    <m/>
    <m/>
    <m/>
    <m/>
    <m/>
    <m/>
    <m/>
  </r>
  <r>
    <x v="46"/>
    <x v="24"/>
    <m/>
    <m/>
    <m/>
    <m/>
    <m/>
    <m/>
    <m/>
    <m/>
    <m/>
    <m/>
    <m/>
    <m/>
    <m/>
    <m/>
    <m/>
    <m/>
    <m/>
  </r>
  <r>
    <x v="46"/>
    <x v="25"/>
    <m/>
    <m/>
    <m/>
    <m/>
    <m/>
    <m/>
    <m/>
    <m/>
    <m/>
    <m/>
    <m/>
    <m/>
    <m/>
    <m/>
    <m/>
    <m/>
    <m/>
  </r>
  <r>
    <x v="46"/>
    <x v="26"/>
    <m/>
    <m/>
    <m/>
    <m/>
    <m/>
    <m/>
    <m/>
    <m/>
    <m/>
    <m/>
    <m/>
    <m/>
    <m/>
    <m/>
    <m/>
    <m/>
    <m/>
  </r>
  <r>
    <x v="46"/>
    <x v="27"/>
    <m/>
    <m/>
    <m/>
    <m/>
    <m/>
    <m/>
    <m/>
    <m/>
    <m/>
    <m/>
    <m/>
    <m/>
    <m/>
    <m/>
    <m/>
    <m/>
    <m/>
  </r>
  <r>
    <x v="46"/>
    <x v="28"/>
    <m/>
    <m/>
    <m/>
    <m/>
    <m/>
    <m/>
    <m/>
    <m/>
    <m/>
    <m/>
    <m/>
    <m/>
    <m/>
    <m/>
    <m/>
    <m/>
    <m/>
  </r>
  <r>
    <x v="46"/>
    <x v="29"/>
    <m/>
    <m/>
    <m/>
    <m/>
    <m/>
    <m/>
    <m/>
    <m/>
    <m/>
    <m/>
    <m/>
    <m/>
    <m/>
    <m/>
    <m/>
    <m/>
    <m/>
  </r>
  <r>
    <x v="46"/>
    <x v="30"/>
    <m/>
    <m/>
    <m/>
    <m/>
    <m/>
    <m/>
    <m/>
    <m/>
    <m/>
    <m/>
    <m/>
    <m/>
    <m/>
    <m/>
    <m/>
    <m/>
    <m/>
  </r>
  <r>
    <x v="46"/>
    <x v="31"/>
    <m/>
    <m/>
    <m/>
    <m/>
    <m/>
    <m/>
    <m/>
    <m/>
    <m/>
    <m/>
    <m/>
    <m/>
    <m/>
    <m/>
    <m/>
    <m/>
    <m/>
  </r>
  <r>
    <x v="46"/>
    <x v="32"/>
    <m/>
    <m/>
    <m/>
    <m/>
    <m/>
    <m/>
    <m/>
    <m/>
    <m/>
    <m/>
    <m/>
    <m/>
    <m/>
    <m/>
    <m/>
    <m/>
    <m/>
  </r>
  <r>
    <x v="46"/>
    <x v="33"/>
    <m/>
    <m/>
    <m/>
    <m/>
    <m/>
    <m/>
    <m/>
    <m/>
    <m/>
    <m/>
    <m/>
    <m/>
    <m/>
    <m/>
    <m/>
    <m/>
    <m/>
  </r>
  <r>
    <x v="46"/>
    <x v="34"/>
    <m/>
    <m/>
    <m/>
    <m/>
    <m/>
    <m/>
    <m/>
    <m/>
    <m/>
    <m/>
    <m/>
    <m/>
    <m/>
    <m/>
    <m/>
    <m/>
    <m/>
  </r>
  <r>
    <x v="46"/>
    <x v="35"/>
    <m/>
    <m/>
    <m/>
    <m/>
    <m/>
    <m/>
    <m/>
    <m/>
    <m/>
    <m/>
    <m/>
    <m/>
    <m/>
    <m/>
    <m/>
    <m/>
    <m/>
  </r>
  <r>
    <x v="46"/>
    <x v="36"/>
    <m/>
    <m/>
    <m/>
    <m/>
    <m/>
    <m/>
    <m/>
    <m/>
    <m/>
    <m/>
    <m/>
    <m/>
    <m/>
    <m/>
    <m/>
    <m/>
    <m/>
  </r>
  <r>
    <x v="46"/>
    <x v="37"/>
    <m/>
    <m/>
    <m/>
    <m/>
    <m/>
    <m/>
    <m/>
    <m/>
    <m/>
    <m/>
    <m/>
    <m/>
    <m/>
    <m/>
    <m/>
    <m/>
    <m/>
  </r>
  <r>
    <x v="46"/>
    <x v="38"/>
    <m/>
    <m/>
    <m/>
    <m/>
    <m/>
    <m/>
    <m/>
    <m/>
    <m/>
    <m/>
    <m/>
    <m/>
    <m/>
    <m/>
    <m/>
    <m/>
    <m/>
  </r>
  <r>
    <x v="46"/>
    <x v="39"/>
    <m/>
    <m/>
    <m/>
    <m/>
    <m/>
    <m/>
    <m/>
    <m/>
    <m/>
    <m/>
    <m/>
    <m/>
    <m/>
    <m/>
    <m/>
    <m/>
    <m/>
  </r>
  <r>
    <x v="46"/>
    <x v="40"/>
    <m/>
    <m/>
    <m/>
    <m/>
    <m/>
    <m/>
    <m/>
    <m/>
    <m/>
    <m/>
    <m/>
    <m/>
    <m/>
    <m/>
    <m/>
    <m/>
    <m/>
  </r>
  <r>
    <x v="46"/>
    <x v="41"/>
    <m/>
    <m/>
    <m/>
    <m/>
    <m/>
    <m/>
    <m/>
    <m/>
    <m/>
    <m/>
    <m/>
    <m/>
    <m/>
    <m/>
    <m/>
    <m/>
    <m/>
  </r>
  <r>
    <x v="46"/>
    <x v="42"/>
    <m/>
    <m/>
    <m/>
    <m/>
    <m/>
    <m/>
    <m/>
    <m/>
    <m/>
    <m/>
    <m/>
    <m/>
    <m/>
    <m/>
    <m/>
    <m/>
    <m/>
  </r>
  <r>
    <x v="46"/>
    <x v="43"/>
    <m/>
    <m/>
    <m/>
    <m/>
    <m/>
    <m/>
    <m/>
    <m/>
    <m/>
    <m/>
    <m/>
    <m/>
    <m/>
    <m/>
    <m/>
    <m/>
    <m/>
  </r>
  <r>
    <x v="46"/>
    <x v="44"/>
    <m/>
    <m/>
    <m/>
    <m/>
    <m/>
    <m/>
    <m/>
    <m/>
    <m/>
    <m/>
    <m/>
    <m/>
    <m/>
    <m/>
    <m/>
    <m/>
    <m/>
  </r>
  <r>
    <x v="46"/>
    <x v="45"/>
    <m/>
    <m/>
    <m/>
    <m/>
    <m/>
    <m/>
    <m/>
    <m/>
    <m/>
    <m/>
    <m/>
    <m/>
    <m/>
    <m/>
    <m/>
    <m/>
    <m/>
  </r>
  <r>
    <x v="46"/>
    <x v="46"/>
    <m/>
    <m/>
    <m/>
    <m/>
    <m/>
    <m/>
    <m/>
    <m/>
    <m/>
    <m/>
    <m/>
    <m/>
    <m/>
    <m/>
    <m/>
    <m/>
    <m/>
  </r>
  <r>
    <x v="46"/>
    <x v="47"/>
    <m/>
    <m/>
    <m/>
    <m/>
    <m/>
    <m/>
    <m/>
    <m/>
    <m/>
    <m/>
    <m/>
    <m/>
    <m/>
    <m/>
    <m/>
    <m/>
    <m/>
  </r>
  <r>
    <x v="46"/>
    <x v="48"/>
    <m/>
    <m/>
    <m/>
    <m/>
    <m/>
    <m/>
    <m/>
    <m/>
    <m/>
    <m/>
    <m/>
    <m/>
    <m/>
    <m/>
    <m/>
    <m/>
    <m/>
  </r>
  <r>
    <x v="46"/>
    <x v="49"/>
    <m/>
    <m/>
    <m/>
    <m/>
    <m/>
    <m/>
    <m/>
    <m/>
    <m/>
    <m/>
    <m/>
    <m/>
    <m/>
    <m/>
    <m/>
    <m/>
    <m/>
  </r>
  <r>
    <x v="46"/>
    <x v="50"/>
    <m/>
    <m/>
    <m/>
    <m/>
    <m/>
    <m/>
    <m/>
    <m/>
    <m/>
    <m/>
    <m/>
    <m/>
    <m/>
    <m/>
    <m/>
    <m/>
    <m/>
  </r>
  <r>
    <x v="46"/>
    <x v="51"/>
    <m/>
    <m/>
    <m/>
    <m/>
    <m/>
    <m/>
    <m/>
    <m/>
    <m/>
    <m/>
    <m/>
    <m/>
    <m/>
    <m/>
    <m/>
    <m/>
    <m/>
  </r>
  <r>
    <x v="47"/>
    <x v="0"/>
    <m/>
    <m/>
    <m/>
    <m/>
    <m/>
    <m/>
    <m/>
    <m/>
    <m/>
    <m/>
    <m/>
    <m/>
    <m/>
    <m/>
    <m/>
    <m/>
    <m/>
  </r>
  <r>
    <x v="47"/>
    <x v="1"/>
    <m/>
    <m/>
    <m/>
    <m/>
    <m/>
    <m/>
    <m/>
    <m/>
    <m/>
    <m/>
    <m/>
    <m/>
    <m/>
    <m/>
    <m/>
    <m/>
    <m/>
  </r>
  <r>
    <x v="47"/>
    <x v="2"/>
    <m/>
    <m/>
    <m/>
    <m/>
    <m/>
    <m/>
    <m/>
    <m/>
    <m/>
    <m/>
    <m/>
    <m/>
    <m/>
    <m/>
    <m/>
    <m/>
    <m/>
  </r>
  <r>
    <x v="47"/>
    <x v="3"/>
    <m/>
    <m/>
    <m/>
    <m/>
    <m/>
    <m/>
    <m/>
    <m/>
    <m/>
    <m/>
    <m/>
    <m/>
    <m/>
    <m/>
    <m/>
    <m/>
    <m/>
  </r>
  <r>
    <x v="47"/>
    <x v="4"/>
    <m/>
    <m/>
    <m/>
    <m/>
    <m/>
    <m/>
    <m/>
    <m/>
    <m/>
    <m/>
    <m/>
    <m/>
    <m/>
    <m/>
    <m/>
    <m/>
    <m/>
  </r>
  <r>
    <x v="47"/>
    <x v="5"/>
    <m/>
    <m/>
    <m/>
    <m/>
    <m/>
    <m/>
    <m/>
    <m/>
    <m/>
    <m/>
    <m/>
    <m/>
    <m/>
    <m/>
    <m/>
    <m/>
    <m/>
  </r>
  <r>
    <x v="47"/>
    <x v="6"/>
    <m/>
    <m/>
    <m/>
    <m/>
    <m/>
    <m/>
    <m/>
    <m/>
    <m/>
    <m/>
    <m/>
    <m/>
    <m/>
    <m/>
    <m/>
    <m/>
    <m/>
  </r>
  <r>
    <x v="47"/>
    <x v="7"/>
    <m/>
    <m/>
    <m/>
    <m/>
    <m/>
    <m/>
    <m/>
    <m/>
    <m/>
    <m/>
    <m/>
    <m/>
    <m/>
    <m/>
    <m/>
    <m/>
    <m/>
  </r>
  <r>
    <x v="47"/>
    <x v="8"/>
    <m/>
    <m/>
    <m/>
    <m/>
    <m/>
    <m/>
    <m/>
    <m/>
    <m/>
    <m/>
    <m/>
    <m/>
    <m/>
    <m/>
    <m/>
    <m/>
    <m/>
  </r>
  <r>
    <x v="47"/>
    <x v="9"/>
    <m/>
    <m/>
    <m/>
    <m/>
    <m/>
    <m/>
    <m/>
    <m/>
    <m/>
    <m/>
    <m/>
    <m/>
    <m/>
    <m/>
    <m/>
    <m/>
    <m/>
  </r>
  <r>
    <x v="47"/>
    <x v="10"/>
    <m/>
    <m/>
    <m/>
    <m/>
    <m/>
    <m/>
    <m/>
    <m/>
    <m/>
    <m/>
    <m/>
    <m/>
    <m/>
    <m/>
    <m/>
    <m/>
    <m/>
  </r>
  <r>
    <x v="47"/>
    <x v="11"/>
    <m/>
    <m/>
    <m/>
    <m/>
    <m/>
    <m/>
    <m/>
    <m/>
    <m/>
    <m/>
    <m/>
    <m/>
    <m/>
    <m/>
    <m/>
    <m/>
    <m/>
  </r>
  <r>
    <x v="47"/>
    <x v="12"/>
    <m/>
    <m/>
    <m/>
    <m/>
    <m/>
    <m/>
    <m/>
    <m/>
    <m/>
    <m/>
    <m/>
    <m/>
    <m/>
    <m/>
    <m/>
    <m/>
    <m/>
  </r>
  <r>
    <x v="47"/>
    <x v="13"/>
    <m/>
    <m/>
    <m/>
    <m/>
    <m/>
    <m/>
    <m/>
    <m/>
    <m/>
    <m/>
    <m/>
    <m/>
    <m/>
    <m/>
    <m/>
    <m/>
    <m/>
  </r>
  <r>
    <x v="47"/>
    <x v="14"/>
    <m/>
    <m/>
    <m/>
    <m/>
    <m/>
    <m/>
    <m/>
    <m/>
    <m/>
    <m/>
    <m/>
    <m/>
    <m/>
    <m/>
    <m/>
    <m/>
    <m/>
  </r>
  <r>
    <x v="47"/>
    <x v="15"/>
    <m/>
    <m/>
    <m/>
    <m/>
    <m/>
    <m/>
    <m/>
    <m/>
    <m/>
    <m/>
    <m/>
    <m/>
    <m/>
    <m/>
    <m/>
    <m/>
    <m/>
  </r>
  <r>
    <x v="47"/>
    <x v="16"/>
    <m/>
    <m/>
    <m/>
    <m/>
    <m/>
    <m/>
    <m/>
    <m/>
    <m/>
    <m/>
    <m/>
    <m/>
    <m/>
    <m/>
    <m/>
    <m/>
    <m/>
  </r>
  <r>
    <x v="47"/>
    <x v="17"/>
    <m/>
    <m/>
    <m/>
    <m/>
    <m/>
    <m/>
    <m/>
    <m/>
    <m/>
    <m/>
    <m/>
    <m/>
    <m/>
    <m/>
    <m/>
    <m/>
    <m/>
  </r>
  <r>
    <x v="47"/>
    <x v="18"/>
    <m/>
    <m/>
    <m/>
    <m/>
    <m/>
    <m/>
    <m/>
    <m/>
    <m/>
    <m/>
    <m/>
    <m/>
    <m/>
    <m/>
    <m/>
    <m/>
    <m/>
  </r>
  <r>
    <x v="47"/>
    <x v="19"/>
    <m/>
    <m/>
    <m/>
    <m/>
    <m/>
    <m/>
    <m/>
    <m/>
    <m/>
    <m/>
    <m/>
    <m/>
    <m/>
    <m/>
    <m/>
    <m/>
    <m/>
  </r>
  <r>
    <x v="47"/>
    <x v="20"/>
    <m/>
    <m/>
    <m/>
    <m/>
    <m/>
    <m/>
    <m/>
    <m/>
    <m/>
    <m/>
    <m/>
    <m/>
    <m/>
    <m/>
    <m/>
    <m/>
    <m/>
  </r>
  <r>
    <x v="47"/>
    <x v="21"/>
    <m/>
    <m/>
    <m/>
    <m/>
    <m/>
    <m/>
    <m/>
    <m/>
    <m/>
    <m/>
    <m/>
    <m/>
    <m/>
    <m/>
    <m/>
    <m/>
    <m/>
  </r>
  <r>
    <x v="47"/>
    <x v="22"/>
    <m/>
    <m/>
    <m/>
    <m/>
    <m/>
    <m/>
    <m/>
    <m/>
    <m/>
    <m/>
    <m/>
    <m/>
    <m/>
    <m/>
    <m/>
    <m/>
    <m/>
  </r>
  <r>
    <x v="47"/>
    <x v="23"/>
    <m/>
    <m/>
    <m/>
    <m/>
    <m/>
    <m/>
    <m/>
    <m/>
    <m/>
    <m/>
    <m/>
    <m/>
    <m/>
    <m/>
    <m/>
    <m/>
    <m/>
  </r>
  <r>
    <x v="47"/>
    <x v="24"/>
    <m/>
    <m/>
    <m/>
    <m/>
    <m/>
    <m/>
    <m/>
    <m/>
    <m/>
    <m/>
    <m/>
    <m/>
    <m/>
    <m/>
    <m/>
    <m/>
    <m/>
  </r>
  <r>
    <x v="47"/>
    <x v="25"/>
    <m/>
    <m/>
    <m/>
    <m/>
    <m/>
    <m/>
    <m/>
    <m/>
    <m/>
    <m/>
    <m/>
    <m/>
    <m/>
    <m/>
    <m/>
    <m/>
    <m/>
  </r>
  <r>
    <x v="47"/>
    <x v="26"/>
    <m/>
    <m/>
    <m/>
    <m/>
    <m/>
    <m/>
    <m/>
    <m/>
    <m/>
    <m/>
    <m/>
    <m/>
    <m/>
    <m/>
    <m/>
    <m/>
    <m/>
  </r>
  <r>
    <x v="47"/>
    <x v="27"/>
    <m/>
    <m/>
    <m/>
    <m/>
    <m/>
    <m/>
    <m/>
    <m/>
    <m/>
    <m/>
    <m/>
    <m/>
    <m/>
    <m/>
    <m/>
    <m/>
    <m/>
  </r>
  <r>
    <x v="47"/>
    <x v="28"/>
    <m/>
    <m/>
    <m/>
    <m/>
    <m/>
    <m/>
    <m/>
    <m/>
    <m/>
    <m/>
    <m/>
    <m/>
    <m/>
    <m/>
    <m/>
    <m/>
    <m/>
  </r>
  <r>
    <x v="47"/>
    <x v="29"/>
    <m/>
    <m/>
    <m/>
    <m/>
    <m/>
    <m/>
    <m/>
    <m/>
    <m/>
    <m/>
    <m/>
    <m/>
    <m/>
    <m/>
    <m/>
    <m/>
    <m/>
  </r>
  <r>
    <x v="47"/>
    <x v="30"/>
    <m/>
    <m/>
    <m/>
    <m/>
    <m/>
    <m/>
    <m/>
    <m/>
    <m/>
    <m/>
    <m/>
    <m/>
    <m/>
    <m/>
    <m/>
    <m/>
    <m/>
  </r>
  <r>
    <x v="47"/>
    <x v="31"/>
    <m/>
    <m/>
    <m/>
    <m/>
    <m/>
    <m/>
    <m/>
    <m/>
    <m/>
    <m/>
    <m/>
    <m/>
    <m/>
    <m/>
    <m/>
    <m/>
    <m/>
  </r>
  <r>
    <x v="47"/>
    <x v="32"/>
    <m/>
    <m/>
    <m/>
    <m/>
    <m/>
    <m/>
    <m/>
    <m/>
    <m/>
    <m/>
    <m/>
    <m/>
    <m/>
    <m/>
    <m/>
    <m/>
    <m/>
  </r>
  <r>
    <x v="47"/>
    <x v="33"/>
    <m/>
    <m/>
    <m/>
    <m/>
    <m/>
    <m/>
    <m/>
    <m/>
    <m/>
    <m/>
    <m/>
    <m/>
    <m/>
    <m/>
    <m/>
    <m/>
    <m/>
  </r>
  <r>
    <x v="47"/>
    <x v="34"/>
    <m/>
    <m/>
    <m/>
    <m/>
    <m/>
    <m/>
    <m/>
    <m/>
    <m/>
    <m/>
    <m/>
    <m/>
    <m/>
    <m/>
    <m/>
    <m/>
    <m/>
  </r>
  <r>
    <x v="47"/>
    <x v="35"/>
    <m/>
    <m/>
    <m/>
    <m/>
    <m/>
    <m/>
    <m/>
    <m/>
    <m/>
    <m/>
    <m/>
    <m/>
    <m/>
    <m/>
    <m/>
    <m/>
    <m/>
  </r>
  <r>
    <x v="47"/>
    <x v="36"/>
    <m/>
    <m/>
    <m/>
    <m/>
    <m/>
    <m/>
    <m/>
    <m/>
    <m/>
    <m/>
    <m/>
    <m/>
    <m/>
    <m/>
    <m/>
    <m/>
    <m/>
  </r>
  <r>
    <x v="47"/>
    <x v="37"/>
    <m/>
    <m/>
    <m/>
    <m/>
    <m/>
    <m/>
    <m/>
    <m/>
    <m/>
    <m/>
    <m/>
    <m/>
    <m/>
    <m/>
    <m/>
    <m/>
    <m/>
  </r>
  <r>
    <x v="47"/>
    <x v="38"/>
    <m/>
    <m/>
    <m/>
    <m/>
    <m/>
    <m/>
    <m/>
    <m/>
    <m/>
    <m/>
    <m/>
    <m/>
    <m/>
    <m/>
    <m/>
    <m/>
    <m/>
  </r>
  <r>
    <x v="47"/>
    <x v="39"/>
    <m/>
    <m/>
    <m/>
    <m/>
    <m/>
    <m/>
    <m/>
    <m/>
    <m/>
    <m/>
    <m/>
    <m/>
    <m/>
    <m/>
    <m/>
    <m/>
    <m/>
  </r>
  <r>
    <x v="47"/>
    <x v="40"/>
    <m/>
    <m/>
    <m/>
    <m/>
    <m/>
    <m/>
    <m/>
    <m/>
    <m/>
    <m/>
    <m/>
    <m/>
    <m/>
    <m/>
    <m/>
    <m/>
    <m/>
  </r>
  <r>
    <x v="47"/>
    <x v="41"/>
    <m/>
    <m/>
    <m/>
    <m/>
    <m/>
    <m/>
    <m/>
    <m/>
    <m/>
    <m/>
    <m/>
    <m/>
    <m/>
    <m/>
    <m/>
    <m/>
    <m/>
  </r>
  <r>
    <x v="47"/>
    <x v="42"/>
    <m/>
    <m/>
    <m/>
    <m/>
    <m/>
    <m/>
    <m/>
    <m/>
    <m/>
    <m/>
    <m/>
    <m/>
    <m/>
    <m/>
    <m/>
    <m/>
    <m/>
  </r>
  <r>
    <x v="47"/>
    <x v="43"/>
    <m/>
    <m/>
    <m/>
    <m/>
    <m/>
    <m/>
    <m/>
    <m/>
    <m/>
    <m/>
    <m/>
    <m/>
    <m/>
    <m/>
    <m/>
    <m/>
    <m/>
  </r>
  <r>
    <x v="47"/>
    <x v="44"/>
    <m/>
    <m/>
    <m/>
    <m/>
    <m/>
    <m/>
    <m/>
    <m/>
    <m/>
    <m/>
    <m/>
    <m/>
    <m/>
    <m/>
    <m/>
    <m/>
    <m/>
  </r>
  <r>
    <x v="47"/>
    <x v="45"/>
    <m/>
    <m/>
    <m/>
    <m/>
    <m/>
    <m/>
    <m/>
    <m/>
    <m/>
    <m/>
    <m/>
    <m/>
    <m/>
    <m/>
    <m/>
    <m/>
    <m/>
  </r>
  <r>
    <x v="47"/>
    <x v="46"/>
    <m/>
    <m/>
    <m/>
    <m/>
    <m/>
    <m/>
    <m/>
    <m/>
    <m/>
    <m/>
    <m/>
    <m/>
    <m/>
    <m/>
    <m/>
    <m/>
    <m/>
  </r>
  <r>
    <x v="47"/>
    <x v="47"/>
    <m/>
    <m/>
    <m/>
    <m/>
    <m/>
    <m/>
    <m/>
    <m/>
    <m/>
    <m/>
    <m/>
    <m/>
    <m/>
    <m/>
    <m/>
    <m/>
    <m/>
  </r>
  <r>
    <x v="47"/>
    <x v="48"/>
    <m/>
    <m/>
    <m/>
    <m/>
    <m/>
    <m/>
    <m/>
    <m/>
    <m/>
    <m/>
    <m/>
    <m/>
    <m/>
    <m/>
    <m/>
    <m/>
    <m/>
  </r>
  <r>
    <x v="47"/>
    <x v="49"/>
    <m/>
    <m/>
    <m/>
    <m/>
    <m/>
    <m/>
    <m/>
    <m/>
    <m/>
    <m/>
    <m/>
    <m/>
    <m/>
    <m/>
    <m/>
    <m/>
    <m/>
  </r>
  <r>
    <x v="47"/>
    <x v="50"/>
    <m/>
    <m/>
    <m/>
    <m/>
    <m/>
    <m/>
    <m/>
    <m/>
    <m/>
    <m/>
    <m/>
    <m/>
    <m/>
    <m/>
    <m/>
    <m/>
    <m/>
  </r>
  <r>
    <x v="47"/>
    <x v="51"/>
    <m/>
    <m/>
    <m/>
    <m/>
    <m/>
    <m/>
    <m/>
    <m/>
    <m/>
    <m/>
    <m/>
    <m/>
    <m/>
    <m/>
    <m/>
    <m/>
    <m/>
  </r>
  <r>
    <x v="48"/>
    <x v="0"/>
    <m/>
    <m/>
    <m/>
    <m/>
    <m/>
    <m/>
    <m/>
    <m/>
    <m/>
    <m/>
    <m/>
    <m/>
    <m/>
    <m/>
    <m/>
    <m/>
    <m/>
  </r>
  <r>
    <x v="48"/>
    <x v="1"/>
    <m/>
    <m/>
    <m/>
    <m/>
    <m/>
    <m/>
    <m/>
    <m/>
    <m/>
    <m/>
    <m/>
    <m/>
    <m/>
    <m/>
    <m/>
    <m/>
    <m/>
  </r>
  <r>
    <x v="48"/>
    <x v="2"/>
    <m/>
    <m/>
    <m/>
    <m/>
    <m/>
    <m/>
    <m/>
    <m/>
    <m/>
    <m/>
    <m/>
    <m/>
    <m/>
    <m/>
    <m/>
    <m/>
    <m/>
  </r>
  <r>
    <x v="48"/>
    <x v="3"/>
    <m/>
    <m/>
    <m/>
    <m/>
    <m/>
    <m/>
    <m/>
    <m/>
    <m/>
    <m/>
    <m/>
    <m/>
    <m/>
    <m/>
    <m/>
    <m/>
    <m/>
  </r>
  <r>
    <x v="48"/>
    <x v="4"/>
    <m/>
    <m/>
    <m/>
    <m/>
    <m/>
    <m/>
    <m/>
    <m/>
    <m/>
    <m/>
    <m/>
    <m/>
    <m/>
    <m/>
    <m/>
    <m/>
    <m/>
  </r>
  <r>
    <x v="48"/>
    <x v="5"/>
    <m/>
    <m/>
    <m/>
    <m/>
    <m/>
    <m/>
    <m/>
    <m/>
    <m/>
    <m/>
    <m/>
    <m/>
    <m/>
    <m/>
    <m/>
    <m/>
    <m/>
  </r>
  <r>
    <x v="48"/>
    <x v="6"/>
    <m/>
    <m/>
    <m/>
    <m/>
    <m/>
    <m/>
    <m/>
    <m/>
    <m/>
    <m/>
    <m/>
    <m/>
    <m/>
    <m/>
    <m/>
    <m/>
    <m/>
  </r>
  <r>
    <x v="48"/>
    <x v="7"/>
    <m/>
    <m/>
    <m/>
    <m/>
    <m/>
    <m/>
    <m/>
    <m/>
    <m/>
    <m/>
    <m/>
    <m/>
    <m/>
    <m/>
    <m/>
    <m/>
    <m/>
  </r>
  <r>
    <x v="48"/>
    <x v="8"/>
    <m/>
    <m/>
    <m/>
    <m/>
    <m/>
    <m/>
    <m/>
    <m/>
    <m/>
    <m/>
    <m/>
    <m/>
    <m/>
    <m/>
    <m/>
    <m/>
    <m/>
  </r>
  <r>
    <x v="48"/>
    <x v="9"/>
    <m/>
    <m/>
    <m/>
    <m/>
    <m/>
    <m/>
    <m/>
    <m/>
    <m/>
    <m/>
    <m/>
    <m/>
    <m/>
    <m/>
    <m/>
    <m/>
    <m/>
  </r>
  <r>
    <x v="48"/>
    <x v="10"/>
    <m/>
    <m/>
    <m/>
    <m/>
    <m/>
    <m/>
    <m/>
    <m/>
    <m/>
    <m/>
    <m/>
    <m/>
    <m/>
    <m/>
    <m/>
    <m/>
    <m/>
  </r>
  <r>
    <x v="48"/>
    <x v="11"/>
    <m/>
    <m/>
    <m/>
    <m/>
    <m/>
    <m/>
    <m/>
    <m/>
    <m/>
    <m/>
    <m/>
    <m/>
    <m/>
    <m/>
    <m/>
    <m/>
    <m/>
  </r>
  <r>
    <x v="48"/>
    <x v="12"/>
    <m/>
    <m/>
    <m/>
    <m/>
    <m/>
    <m/>
    <n v="25"/>
    <n v="10"/>
    <m/>
    <m/>
    <m/>
    <n v="10"/>
    <m/>
    <n v="30"/>
    <m/>
    <m/>
    <m/>
  </r>
  <r>
    <x v="48"/>
    <x v="13"/>
    <m/>
    <m/>
    <m/>
    <m/>
    <m/>
    <m/>
    <m/>
    <m/>
    <m/>
    <m/>
    <m/>
    <m/>
    <m/>
    <m/>
    <m/>
    <m/>
    <m/>
  </r>
  <r>
    <x v="48"/>
    <x v="14"/>
    <m/>
    <m/>
    <m/>
    <m/>
    <m/>
    <m/>
    <m/>
    <m/>
    <m/>
    <m/>
    <m/>
    <m/>
    <m/>
    <m/>
    <m/>
    <m/>
    <m/>
  </r>
  <r>
    <x v="48"/>
    <x v="15"/>
    <m/>
    <m/>
    <m/>
    <m/>
    <m/>
    <m/>
    <m/>
    <m/>
    <m/>
    <m/>
    <m/>
    <m/>
    <m/>
    <m/>
    <m/>
    <m/>
    <m/>
  </r>
  <r>
    <x v="48"/>
    <x v="16"/>
    <m/>
    <m/>
    <m/>
    <m/>
    <m/>
    <m/>
    <m/>
    <m/>
    <m/>
    <m/>
    <m/>
    <m/>
    <m/>
    <m/>
    <m/>
    <m/>
    <m/>
  </r>
  <r>
    <x v="48"/>
    <x v="17"/>
    <m/>
    <m/>
    <m/>
    <m/>
    <m/>
    <m/>
    <m/>
    <m/>
    <m/>
    <m/>
    <m/>
    <m/>
    <m/>
    <m/>
    <m/>
    <m/>
    <m/>
  </r>
  <r>
    <x v="48"/>
    <x v="18"/>
    <m/>
    <m/>
    <m/>
    <m/>
    <m/>
    <m/>
    <m/>
    <m/>
    <m/>
    <m/>
    <m/>
    <m/>
    <m/>
    <m/>
    <m/>
    <m/>
    <m/>
  </r>
  <r>
    <x v="48"/>
    <x v="19"/>
    <m/>
    <m/>
    <m/>
    <m/>
    <m/>
    <m/>
    <m/>
    <m/>
    <m/>
    <m/>
    <m/>
    <m/>
    <m/>
    <m/>
    <m/>
    <m/>
    <m/>
  </r>
  <r>
    <x v="48"/>
    <x v="20"/>
    <m/>
    <m/>
    <m/>
    <m/>
    <m/>
    <m/>
    <m/>
    <m/>
    <m/>
    <m/>
    <m/>
    <m/>
    <m/>
    <m/>
    <m/>
    <m/>
    <m/>
  </r>
  <r>
    <x v="48"/>
    <x v="21"/>
    <m/>
    <m/>
    <m/>
    <m/>
    <m/>
    <m/>
    <m/>
    <m/>
    <m/>
    <m/>
    <m/>
    <m/>
    <m/>
    <m/>
    <m/>
    <m/>
    <m/>
  </r>
  <r>
    <x v="48"/>
    <x v="22"/>
    <m/>
    <m/>
    <m/>
    <m/>
    <m/>
    <m/>
    <m/>
    <m/>
    <m/>
    <m/>
    <m/>
    <m/>
    <m/>
    <m/>
    <m/>
    <m/>
    <m/>
  </r>
  <r>
    <x v="48"/>
    <x v="23"/>
    <m/>
    <m/>
    <m/>
    <m/>
    <m/>
    <m/>
    <m/>
    <m/>
    <m/>
    <m/>
    <m/>
    <m/>
    <m/>
    <m/>
    <m/>
    <m/>
    <m/>
  </r>
  <r>
    <x v="48"/>
    <x v="24"/>
    <m/>
    <m/>
    <m/>
    <m/>
    <m/>
    <m/>
    <m/>
    <m/>
    <m/>
    <m/>
    <m/>
    <m/>
    <m/>
    <m/>
    <m/>
    <m/>
    <m/>
  </r>
  <r>
    <x v="48"/>
    <x v="25"/>
    <m/>
    <m/>
    <m/>
    <m/>
    <m/>
    <m/>
    <m/>
    <m/>
    <m/>
    <m/>
    <m/>
    <m/>
    <m/>
    <m/>
    <m/>
    <m/>
    <m/>
  </r>
  <r>
    <x v="48"/>
    <x v="26"/>
    <m/>
    <m/>
    <m/>
    <m/>
    <m/>
    <m/>
    <m/>
    <m/>
    <m/>
    <m/>
    <m/>
    <m/>
    <m/>
    <m/>
    <m/>
    <m/>
    <m/>
  </r>
  <r>
    <x v="48"/>
    <x v="27"/>
    <m/>
    <m/>
    <m/>
    <m/>
    <m/>
    <m/>
    <m/>
    <m/>
    <m/>
    <m/>
    <m/>
    <m/>
    <m/>
    <m/>
    <m/>
    <m/>
    <m/>
  </r>
  <r>
    <x v="48"/>
    <x v="28"/>
    <m/>
    <m/>
    <m/>
    <m/>
    <m/>
    <m/>
    <m/>
    <m/>
    <m/>
    <m/>
    <m/>
    <m/>
    <m/>
    <m/>
    <m/>
    <m/>
    <m/>
  </r>
  <r>
    <x v="48"/>
    <x v="29"/>
    <m/>
    <m/>
    <m/>
    <m/>
    <m/>
    <m/>
    <m/>
    <m/>
    <m/>
    <m/>
    <m/>
    <m/>
    <m/>
    <m/>
    <m/>
    <m/>
    <m/>
  </r>
  <r>
    <x v="48"/>
    <x v="30"/>
    <m/>
    <m/>
    <m/>
    <m/>
    <m/>
    <m/>
    <m/>
    <m/>
    <m/>
    <m/>
    <m/>
    <m/>
    <m/>
    <m/>
    <m/>
    <m/>
    <m/>
  </r>
  <r>
    <x v="48"/>
    <x v="31"/>
    <m/>
    <m/>
    <m/>
    <m/>
    <m/>
    <m/>
    <m/>
    <m/>
    <m/>
    <m/>
    <m/>
    <m/>
    <m/>
    <m/>
    <m/>
    <m/>
    <m/>
  </r>
  <r>
    <x v="48"/>
    <x v="32"/>
    <m/>
    <m/>
    <m/>
    <m/>
    <m/>
    <m/>
    <m/>
    <m/>
    <m/>
    <m/>
    <m/>
    <m/>
    <m/>
    <m/>
    <m/>
    <m/>
    <m/>
  </r>
  <r>
    <x v="48"/>
    <x v="33"/>
    <m/>
    <m/>
    <m/>
    <m/>
    <m/>
    <m/>
    <m/>
    <m/>
    <m/>
    <m/>
    <m/>
    <m/>
    <m/>
    <m/>
    <m/>
    <m/>
    <m/>
  </r>
  <r>
    <x v="48"/>
    <x v="34"/>
    <m/>
    <m/>
    <m/>
    <m/>
    <m/>
    <m/>
    <m/>
    <m/>
    <m/>
    <m/>
    <m/>
    <m/>
    <m/>
    <m/>
    <m/>
    <m/>
    <m/>
  </r>
  <r>
    <x v="48"/>
    <x v="35"/>
    <m/>
    <m/>
    <m/>
    <m/>
    <m/>
    <m/>
    <n v="25"/>
    <n v="10"/>
    <m/>
    <m/>
    <m/>
    <n v="10"/>
    <m/>
    <n v="30"/>
    <m/>
    <m/>
    <m/>
  </r>
  <r>
    <x v="48"/>
    <x v="36"/>
    <m/>
    <m/>
    <m/>
    <m/>
    <m/>
    <m/>
    <m/>
    <m/>
    <m/>
    <m/>
    <m/>
    <m/>
    <m/>
    <m/>
    <m/>
    <m/>
    <m/>
  </r>
  <r>
    <x v="48"/>
    <x v="37"/>
    <m/>
    <m/>
    <m/>
    <m/>
    <m/>
    <m/>
    <m/>
    <m/>
    <m/>
    <m/>
    <m/>
    <m/>
    <m/>
    <m/>
    <m/>
    <m/>
    <m/>
  </r>
  <r>
    <x v="48"/>
    <x v="38"/>
    <m/>
    <m/>
    <m/>
    <m/>
    <m/>
    <m/>
    <m/>
    <m/>
    <m/>
    <m/>
    <m/>
    <m/>
    <m/>
    <m/>
    <m/>
    <m/>
    <m/>
  </r>
  <r>
    <x v="48"/>
    <x v="39"/>
    <m/>
    <m/>
    <m/>
    <m/>
    <m/>
    <m/>
    <m/>
    <m/>
    <m/>
    <m/>
    <m/>
    <m/>
    <m/>
    <m/>
    <m/>
    <m/>
    <m/>
  </r>
  <r>
    <x v="48"/>
    <x v="40"/>
    <m/>
    <m/>
    <m/>
    <m/>
    <m/>
    <m/>
    <m/>
    <m/>
    <m/>
    <m/>
    <m/>
    <m/>
    <m/>
    <m/>
    <m/>
    <m/>
    <m/>
  </r>
  <r>
    <x v="48"/>
    <x v="41"/>
    <m/>
    <m/>
    <m/>
    <m/>
    <m/>
    <m/>
    <m/>
    <m/>
    <m/>
    <m/>
    <m/>
    <m/>
    <m/>
    <m/>
    <m/>
    <m/>
    <m/>
  </r>
  <r>
    <x v="48"/>
    <x v="42"/>
    <n v="35"/>
    <n v="30"/>
    <n v="15"/>
    <n v="15"/>
    <n v="15"/>
    <n v="15"/>
    <n v="160"/>
    <n v="20"/>
    <n v="0"/>
    <n v="30"/>
    <n v="30"/>
    <n v="30"/>
    <m/>
    <n v="100"/>
    <m/>
    <m/>
    <m/>
  </r>
  <r>
    <x v="48"/>
    <x v="43"/>
    <m/>
    <m/>
    <m/>
    <m/>
    <m/>
    <m/>
    <n v="20"/>
    <n v="10"/>
    <m/>
    <m/>
    <n v="10"/>
    <n v="10"/>
    <m/>
    <n v="20"/>
    <m/>
    <m/>
    <m/>
  </r>
  <r>
    <x v="48"/>
    <x v="44"/>
    <m/>
    <m/>
    <m/>
    <m/>
    <m/>
    <m/>
    <m/>
    <m/>
    <m/>
    <m/>
    <m/>
    <m/>
    <m/>
    <m/>
    <m/>
    <m/>
    <m/>
  </r>
  <r>
    <x v="48"/>
    <x v="45"/>
    <m/>
    <m/>
    <m/>
    <m/>
    <m/>
    <m/>
    <m/>
    <m/>
    <m/>
    <m/>
    <m/>
    <m/>
    <m/>
    <m/>
    <m/>
    <m/>
    <m/>
  </r>
  <r>
    <x v="48"/>
    <x v="46"/>
    <m/>
    <m/>
    <m/>
    <m/>
    <m/>
    <m/>
    <m/>
    <m/>
    <m/>
    <m/>
    <m/>
    <m/>
    <m/>
    <m/>
    <m/>
    <m/>
    <m/>
  </r>
  <r>
    <x v="48"/>
    <x v="47"/>
    <m/>
    <m/>
    <m/>
    <m/>
    <m/>
    <m/>
    <m/>
    <m/>
    <m/>
    <m/>
    <m/>
    <m/>
    <m/>
    <m/>
    <m/>
    <m/>
    <m/>
  </r>
  <r>
    <x v="48"/>
    <x v="48"/>
    <m/>
    <m/>
    <m/>
    <m/>
    <m/>
    <m/>
    <m/>
    <m/>
    <m/>
    <m/>
    <m/>
    <m/>
    <m/>
    <m/>
    <m/>
    <m/>
    <m/>
  </r>
  <r>
    <x v="48"/>
    <x v="49"/>
    <m/>
    <m/>
    <m/>
    <m/>
    <m/>
    <m/>
    <m/>
    <m/>
    <m/>
    <m/>
    <m/>
    <m/>
    <m/>
    <m/>
    <m/>
    <m/>
    <m/>
  </r>
  <r>
    <x v="48"/>
    <x v="50"/>
    <m/>
    <m/>
    <m/>
    <m/>
    <m/>
    <m/>
    <m/>
    <m/>
    <m/>
    <m/>
    <m/>
    <m/>
    <m/>
    <m/>
    <m/>
    <m/>
    <m/>
  </r>
  <r>
    <x v="48"/>
    <x v="51"/>
    <m/>
    <m/>
    <m/>
    <m/>
    <m/>
    <m/>
    <n v="30"/>
    <n v="10"/>
    <m/>
    <m/>
    <m/>
    <n v="10"/>
    <m/>
    <n v="30"/>
    <m/>
    <m/>
    <m/>
  </r>
  <r>
    <x v="49"/>
    <x v="0"/>
    <m/>
    <m/>
    <m/>
    <m/>
    <m/>
    <m/>
    <m/>
    <m/>
    <m/>
    <m/>
    <m/>
    <m/>
    <m/>
    <m/>
    <m/>
    <m/>
    <m/>
  </r>
  <r>
    <x v="49"/>
    <x v="1"/>
    <m/>
    <m/>
    <m/>
    <m/>
    <m/>
    <m/>
    <m/>
    <m/>
    <m/>
    <m/>
    <m/>
    <m/>
    <m/>
    <m/>
    <m/>
    <m/>
    <m/>
  </r>
  <r>
    <x v="49"/>
    <x v="2"/>
    <m/>
    <m/>
    <m/>
    <m/>
    <m/>
    <m/>
    <m/>
    <m/>
    <m/>
    <m/>
    <m/>
    <m/>
    <m/>
    <m/>
    <m/>
    <m/>
    <m/>
  </r>
  <r>
    <x v="49"/>
    <x v="3"/>
    <m/>
    <m/>
    <m/>
    <m/>
    <m/>
    <m/>
    <m/>
    <m/>
    <m/>
    <m/>
    <m/>
    <m/>
    <m/>
    <m/>
    <m/>
    <m/>
    <m/>
  </r>
  <r>
    <x v="49"/>
    <x v="4"/>
    <m/>
    <m/>
    <m/>
    <m/>
    <m/>
    <m/>
    <m/>
    <m/>
    <m/>
    <m/>
    <m/>
    <m/>
    <m/>
    <m/>
    <m/>
    <m/>
    <m/>
  </r>
  <r>
    <x v="49"/>
    <x v="5"/>
    <m/>
    <m/>
    <m/>
    <m/>
    <m/>
    <m/>
    <m/>
    <m/>
    <m/>
    <m/>
    <m/>
    <m/>
    <m/>
    <m/>
    <m/>
    <m/>
    <m/>
  </r>
  <r>
    <x v="49"/>
    <x v="6"/>
    <m/>
    <m/>
    <m/>
    <m/>
    <m/>
    <m/>
    <m/>
    <m/>
    <m/>
    <m/>
    <m/>
    <m/>
    <m/>
    <m/>
    <m/>
    <m/>
    <m/>
  </r>
  <r>
    <x v="49"/>
    <x v="7"/>
    <m/>
    <m/>
    <m/>
    <m/>
    <m/>
    <m/>
    <m/>
    <m/>
    <m/>
    <m/>
    <m/>
    <m/>
    <m/>
    <m/>
    <m/>
    <m/>
    <m/>
  </r>
  <r>
    <x v="49"/>
    <x v="8"/>
    <m/>
    <m/>
    <m/>
    <m/>
    <m/>
    <m/>
    <m/>
    <m/>
    <m/>
    <m/>
    <m/>
    <m/>
    <m/>
    <m/>
    <m/>
    <m/>
    <m/>
  </r>
  <r>
    <x v="49"/>
    <x v="9"/>
    <m/>
    <m/>
    <m/>
    <m/>
    <m/>
    <m/>
    <m/>
    <m/>
    <m/>
    <m/>
    <m/>
    <m/>
    <m/>
    <m/>
    <m/>
    <m/>
    <m/>
  </r>
  <r>
    <x v="49"/>
    <x v="10"/>
    <m/>
    <m/>
    <m/>
    <m/>
    <m/>
    <m/>
    <m/>
    <m/>
    <m/>
    <m/>
    <m/>
    <m/>
    <m/>
    <m/>
    <m/>
    <m/>
    <m/>
  </r>
  <r>
    <x v="49"/>
    <x v="11"/>
    <m/>
    <m/>
    <m/>
    <m/>
    <m/>
    <m/>
    <m/>
    <m/>
    <m/>
    <m/>
    <m/>
    <m/>
    <m/>
    <m/>
    <m/>
    <m/>
    <m/>
  </r>
  <r>
    <x v="49"/>
    <x v="12"/>
    <m/>
    <m/>
    <m/>
    <m/>
    <m/>
    <m/>
    <m/>
    <m/>
    <m/>
    <m/>
    <m/>
    <m/>
    <m/>
    <m/>
    <m/>
    <m/>
    <m/>
  </r>
  <r>
    <x v="49"/>
    <x v="13"/>
    <m/>
    <m/>
    <m/>
    <m/>
    <m/>
    <m/>
    <m/>
    <m/>
    <m/>
    <m/>
    <m/>
    <m/>
    <m/>
    <m/>
    <m/>
    <m/>
    <m/>
  </r>
  <r>
    <x v="49"/>
    <x v="14"/>
    <m/>
    <m/>
    <m/>
    <m/>
    <m/>
    <m/>
    <m/>
    <m/>
    <m/>
    <m/>
    <m/>
    <m/>
    <m/>
    <m/>
    <m/>
    <m/>
    <m/>
  </r>
  <r>
    <x v="49"/>
    <x v="15"/>
    <m/>
    <m/>
    <m/>
    <m/>
    <m/>
    <m/>
    <m/>
    <m/>
    <m/>
    <m/>
    <m/>
    <m/>
    <m/>
    <m/>
    <m/>
    <m/>
    <m/>
  </r>
  <r>
    <x v="49"/>
    <x v="16"/>
    <m/>
    <m/>
    <m/>
    <m/>
    <m/>
    <m/>
    <m/>
    <m/>
    <m/>
    <m/>
    <m/>
    <m/>
    <m/>
    <m/>
    <m/>
    <m/>
    <m/>
  </r>
  <r>
    <x v="49"/>
    <x v="17"/>
    <m/>
    <m/>
    <m/>
    <m/>
    <m/>
    <m/>
    <m/>
    <m/>
    <m/>
    <m/>
    <m/>
    <m/>
    <m/>
    <m/>
    <m/>
    <m/>
    <m/>
  </r>
  <r>
    <x v="49"/>
    <x v="18"/>
    <m/>
    <m/>
    <m/>
    <m/>
    <m/>
    <m/>
    <m/>
    <m/>
    <m/>
    <m/>
    <m/>
    <m/>
    <m/>
    <m/>
    <m/>
    <m/>
    <m/>
  </r>
  <r>
    <x v="49"/>
    <x v="19"/>
    <m/>
    <m/>
    <m/>
    <m/>
    <m/>
    <m/>
    <m/>
    <m/>
    <m/>
    <m/>
    <m/>
    <m/>
    <m/>
    <m/>
    <m/>
    <m/>
    <m/>
  </r>
  <r>
    <x v="49"/>
    <x v="20"/>
    <m/>
    <m/>
    <m/>
    <m/>
    <m/>
    <m/>
    <n v="3"/>
    <m/>
    <n v="3"/>
    <m/>
    <n v="3"/>
    <m/>
    <m/>
    <n v="3"/>
    <m/>
    <n v="3"/>
    <m/>
  </r>
  <r>
    <x v="49"/>
    <x v="21"/>
    <m/>
    <m/>
    <m/>
    <m/>
    <m/>
    <m/>
    <m/>
    <m/>
    <m/>
    <m/>
    <m/>
    <m/>
    <m/>
    <m/>
    <m/>
    <m/>
    <m/>
  </r>
  <r>
    <x v="49"/>
    <x v="22"/>
    <m/>
    <m/>
    <m/>
    <m/>
    <m/>
    <m/>
    <m/>
    <m/>
    <m/>
    <m/>
    <m/>
    <m/>
    <m/>
    <m/>
    <m/>
    <m/>
    <m/>
  </r>
  <r>
    <x v="49"/>
    <x v="23"/>
    <m/>
    <m/>
    <m/>
    <m/>
    <m/>
    <m/>
    <m/>
    <m/>
    <m/>
    <m/>
    <m/>
    <m/>
    <m/>
    <m/>
    <m/>
    <m/>
    <m/>
  </r>
  <r>
    <x v="49"/>
    <x v="24"/>
    <m/>
    <m/>
    <m/>
    <m/>
    <m/>
    <m/>
    <m/>
    <m/>
    <m/>
    <m/>
    <m/>
    <m/>
    <m/>
    <m/>
    <m/>
    <m/>
    <m/>
  </r>
  <r>
    <x v="49"/>
    <x v="25"/>
    <m/>
    <m/>
    <m/>
    <m/>
    <m/>
    <m/>
    <m/>
    <m/>
    <m/>
    <m/>
    <m/>
    <m/>
    <m/>
    <m/>
    <m/>
    <m/>
    <m/>
  </r>
  <r>
    <x v="49"/>
    <x v="26"/>
    <m/>
    <m/>
    <m/>
    <m/>
    <m/>
    <m/>
    <m/>
    <m/>
    <m/>
    <m/>
    <m/>
    <m/>
    <m/>
    <m/>
    <m/>
    <m/>
    <m/>
  </r>
  <r>
    <x v="49"/>
    <x v="27"/>
    <m/>
    <m/>
    <m/>
    <m/>
    <m/>
    <m/>
    <m/>
    <m/>
    <m/>
    <m/>
    <m/>
    <m/>
    <m/>
    <m/>
    <m/>
    <m/>
    <m/>
  </r>
  <r>
    <x v="49"/>
    <x v="28"/>
    <m/>
    <m/>
    <m/>
    <m/>
    <m/>
    <m/>
    <m/>
    <m/>
    <m/>
    <m/>
    <m/>
    <m/>
    <m/>
    <m/>
    <m/>
    <m/>
    <m/>
  </r>
  <r>
    <x v="49"/>
    <x v="29"/>
    <m/>
    <m/>
    <m/>
    <m/>
    <m/>
    <m/>
    <m/>
    <m/>
    <m/>
    <m/>
    <m/>
    <m/>
    <m/>
    <m/>
    <m/>
    <m/>
    <m/>
  </r>
  <r>
    <x v="49"/>
    <x v="30"/>
    <m/>
    <m/>
    <m/>
    <m/>
    <m/>
    <m/>
    <m/>
    <m/>
    <m/>
    <m/>
    <m/>
    <m/>
    <m/>
    <m/>
    <m/>
    <m/>
    <m/>
  </r>
  <r>
    <x v="49"/>
    <x v="31"/>
    <m/>
    <m/>
    <m/>
    <m/>
    <m/>
    <m/>
    <n v="3"/>
    <n v="1"/>
    <n v="1"/>
    <m/>
    <n v="3"/>
    <n v="1"/>
    <n v="1"/>
    <n v="3"/>
    <n v="1"/>
    <n v="3"/>
    <m/>
  </r>
  <r>
    <x v="49"/>
    <x v="32"/>
    <m/>
    <m/>
    <m/>
    <m/>
    <m/>
    <m/>
    <m/>
    <m/>
    <m/>
    <m/>
    <m/>
    <m/>
    <m/>
    <m/>
    <m/>
    <m/>
    <m/>
  </r>
  <r>
    <x v="49"/>
    <x v="33"/>
    <m/>
    <m/>
    <m/>
    <m/>
    <m/>
    <m/>
    <m/>
    <m/>
    <m/>
    <m/>
    <m/>
    <m/>
    <m/>
    <m/>
    <m/>
    <m/>
    <m/>
  </r>
  <r>
    <x v="49"/>
    <x v="34"/>
    <m/>
    <m/>
    <m/>
    <m/>
    <m/>
    <m/>
    <m/>
    <m/>
    <m/>
    <m/>
    <m/>
    <m/>
    <m/>
    <m/>
    <m/>
    <m/>
    <m/>
  </r>
  <r>
    <x v="49"/>
    <x v="35"/>
    <m/>
    <m/>
    <m/>
    <m/>
    <m/>
    <m/>
    <m/>
    <m/>
    <m/>
    <m/>
    <m/>
    <m/>
    <m/>
    <m/>
    <m/>
    <m/>
    <m/>
  </r>
  <r>
    <x v="49"/>
    <x v="36"/>
    <m/>
    <m/>
    <m/>
    <m/>
    <m/>
    <m/>
    <m/>
    <m/>
    <m/>
    <m/>
    <m/>
    <m/>
    <m/>
    <m/>
    <m/>
    <m/>
    <m/>
  </r>
  <r>
    <x v="49"/>
    <x v="37"/>
    <m/>
    <m/>
    <m/>
    <m/>
    <m/>
    <m/>
    <m/>
    <m/>
    <m/>
    <m/>
    <m/>
    <m/>
    <m/>
    <m/>
    <m/>
    <m/>
    <m/>
  </r>
  <r>
    <x v="49"/>
    <x v="38"/>
    <m/>
    <m/>
    <m/>
    <m/>
    <m/>
    <m/>
    <n v="3"/>
    <m/>
    <n v="3"/>
    <m/>
    <n v="3"/>
    <m/>
    <m/>
    <n v="3"/>
    <m/>
    <n v="3"/>
    <m/>
  </r>
  <r>
    <x v="49"/>
    <x v="39"/>
    <m/>
    <m/>
    <m/>
    <m/>
    <m/>
    <m/>
    <m/>
    <m/>
    <m/>
    <m/>
    <m/>
    <m/>
    <m/>
    <m/>
    <m/>
    <m/>
    <m/>
  </r>
  <r>
    <x v="49"/>
    <x v="40"/>
    <m/>
    <m/>
    <m/>
    <m/>
    <m/>
    <m/>
    <m/>
    <m/>
    <m/>
    <m/>
    <m/>
    <m/>
    <m/>
    <m/>
    <m/>
    <m/>
    <m/>
  </r>
  <r>
    <x v="49"/>
    <x v="41"/>
    <m/>
    <m/>
    <m/>
    <m/>
    <m/>
    <m/>
    <m/>
    <m/>
    <m/>
    <m/>
    <m/>
    <m/>
    <m/>
    <m/>
    <m/>
    <m/>
    <m/>
  </r>
  <r>
    <x v="49"/>
    <x v="42"/>
    <m/>
    <m/>
    <m/>
    <m/>
    <m/>
    <m/>
    <m/>
    <m/>
    <m/>
    <m/>
    <m/>
    <m/>
    <m/>
    <m/>
    <m/>
    <m/>
    <m/>
  </r>
  <r>
    <x v="49"/>
    <x v="43"/>
    <m/>
    <m/>
    <m/>
    <m/>
    <m/>
    <m/>
    <m/>
    <m/>
    <m/>
    <m/>
    <m/>
    <m/>
    <m/>
    <m/>
    <m/>
    <m/>
    <m/>
  </r>
  <r>
    <x v="49"/>
    <x v="44"/>
    <m/>
    <m/>
    <m/>
    <m/>
    <m/>
    <m/>
    <m/>
    <m/>
    <m/>
    <m/>
    <m/>
    <m/>
    <m/>
    <m/>
    <m/>
    <m/>
    <m/>
  </r>
  <r>
    <x v="49"/>
    <x v="45"/>
    <m/>
    <m/>
    <m/>
    <m/>
    <m/>
    <m/>
    <m/>
    <m/>
    <m/>
    <m/>
    <m/>
    <m/>
    <m/>
    <m/>
    <m/>
    <m/>
    <m/>
  </r>
  <r>
    <x v="49"/>
    <x v="46"/>
    <m/>
    <m/>
    <m/>
    <m/>
    <m/>
    <m/>
    <m/>
    <m/>
    <m/>
    <m/>
    <m/>
    <m/>
    <m/>
    <m/>
    <m/>
    <m/>
    <m/>
  </r>
  <r>
    <x v="49"/>
    <x v="47"/>
    <m/>
    <m/>
    <m/>
    <m/>
    <m/>
    <m/>
    <m/>
    <m/>
    <m/>
    <m/>
    <m/>
    <m/>
    <m/>
    <m/>
    <m/>
    <m/>
    <m/>
  </r>
  <r>
    <x v="49"/>
    <x v="48"/>
    <m/>
    <m/>
    <m/>
    <m/>
    <m/>
    <m/>
    <m/>
    <m/>
    <m/>
    <m/>
    <m/>
    <m/>
    <m/>
    <m/>
    <m/>
    <m/>
    <m/>
  </r>
  <r>
    <x v="49"/>
    <x v="49"/>
    <m/>
    <m/>
    <m/>
    <m/>
    <m/>
    <m/>
    <m/>
    <m/>
    <m/>
    <m/>
    <m/>
    <m/>
    <m/>
    <m/>
    <m/>
    <m/>
    <m/>
  </r>
  <r>
    <x v="49"/>
    <x v="50"/>
    <m/>
    <m/>
    <m/>
    <m/>
    <m/>
    <m/>
    <m/>
    <m/>
    <m/>
    <m/>
    <m/>
    <m/>
    <m/>
    <m/>
    <m/>
    <m/>
    <m/>
  </r>
  <r>
    <x v="49"/>
    <x v="51"/>
    <m/>
    <m/>
    <m/>
    <m/>
    <m/>
    <m/>
    <m/>
    <m/>
    <m/>
    <m/>
    <m/>
    <m/>
    <m/>
    <m/>
    <m/>
    <m/>
    <m/>
  </r>
  <r>
    <x v="50"/>
    <x v="0"/>
    <m/>
    <m/>
    <m/>
    <m/>
    <m/>
    <m/>
    <m/>
    <m/>
    <m/>
    <m/>
    <m/>
    <m/>
    <m/>
    <m/>
    <m/>
    <m/>
    <m/>
  </r>
  <r>
    <x v="50"/>
    <x v="1"/>
    <m/>
    <m/>
    <m/>
    <m/>
    <m/>
    <m/>
    <m/>
    <m/>
    <m/>
    <m/>
    <m/>
    <m/>
    <m/>
    <m/>
    <m/>
    <m/>
    <m/>
  </r>
  <r>
    <x v="50"/>
    <x v="2"/>
    <m/>
    <m/>
    <m/>
    <m/>
    <m/>
    <m/>
    <m/>
    <m/>
    <m/>
    <m/>
    <m/>
    <m/>
    <m/>
    <m/>
    <m/>
    <m/>
    <m/>
  </r>
  <r>
    <x v="50"/>
    <x v="3"/>
    <m/>
    <m/>
    <m/>
    <m/>
    <m/>
    <m/>
    <m/>
    <m/>
    <m/>
    <m/>
    <m/>
    <m/>
    <m/>
    <m/>
    <m/>
    <m/>
    <m/>
  </r>
  <r>
    <x v="50"/>
    <x v="4"/>
    <m/>
    <m/>
    <m/>
    <m/>
    <m/>
    <m/>
    <m/>
    <m/>
    <m/>
    <m/>
    <m/>
    <m/>
    <m/>
    <m/>
    <m/>
    <m/>
    <m/>
  </r>
  <r>
    <x v="50"/>
    <x v="5"/>
    <m/>
    <m/>
    <m/>
    <m/>
    <m/>
    <m/>
    <m/>
    <m/>
    <m/>
    <m/>
    <m/>
    <m/>
    <m/>
    <m/>
    <m/>
    <m/>
    <m/>
  </r>
  <r>
    <x v="50"/>
    <x v="6"/>
    <m/>
    <m/>
    <m/>
    <m/>
    <m/>
    <m/>
    <m/>
    <m/>
    <m/>
    <m/>
    <m/>
    <m/>
    <m/>
    <m/>
    <m/>
    <m/>
    <m/>
  </r>
  <r>
    <x v="50"/>
    <x v="7"/>
    <m/>
    <m/>
    <m/>
    <m/>
    <m/>
    <m/>
    <m/>
    <m/>
    <m/>
    <m/>
    <m/>
    <m/>
    <m/>
    <m/>
    <m/>
    <m/>
    <m/>
  </r>
  <r>
    <x v="50"/>
    <x v="8"/>
    <m/>
    <m/>
    <m/>
    <m/>
    <m/>
    <m/>
    <m/>
    <m/>
    <m/>
    <m/>
    <m/>
    <m/>
    <m/>
    <m/>
    <m/>
    <m/>
    <m/>
  </r>
  <r>
    <x v="50"/>
    <x v="9"/>
    <m/>
    <m/>
    <m/>
    <m/>
    <m/>
    <m/>
    <m/>
    <m/>
    <m/>
    <m/>
    <m/>
    <m/>
    <m/>
    <m/>
    <m/>
    <m/>
    <m/>
  </r>
  <r>
    <x v="50"/>
    <x v="10"/>
    <m/>
    <m/>
    <m/>
    <m/>
    <m/>
    <m/>
    <m/>
    <m/>
    <m/>
    <m/>
    <m/>
    <m/>
    <m/>
    <m/>
    <m/>
    <m/>
    <m/>
  </r>
  <r>
    <x v="50"/>
    <x v="11"/>
    <m/>
    <m/>
    <m/>
    <m/>
    <m/>
    <m/>
    <m/>
    <m/>
    <m/>
    <m/>
    <m/>
    <m/>
    <m/>
    <m/>
    <m/>
    <m/>
    <m/>
  </r>
  <r>
    <x v="50"/>
    <x v="12"/>
    <m/>
    <m/>
    <m/>
    <m/>
    <m/>
    <m/>
    <m/>
    <m/>
    <m/>
    <m/>
    <m/>
    <m/>
    <m/>
    <m/>
    <m/>
    <m/>
    <m/>
  </r>
  <r>
    <x v="50"/>
    <x v="13"/>
    <m/>
    <m/>
    <m/>
    <m/>
    <m/>
    <m/>
    <m/>
    <m/>
    <m/>
    <m/>
    <m/>
    <m/>
    <m/>
    <m/>
    <m/>
    <m/>
    <m/>
  </r>
  <r>
    <x v="50"/>
    <x v="14"/>
    <m/>
    <m/>
    <m/>
    <m/>
    <m/>
    <m/>
    <m/>
    <m/>
    <m/>
    <m/>
    <m/>
    <m/>
    <m/>
    <m/>
    <m/>
    <m/>
    <m/>
  </r>
  <r>
    <x v="50"/>
    <x v="15"/>
    <m/>
    <m/>
    <m/>
    <m/>
    <m/>
    <m/>
    <m/>
    <m/>
    <m/>
    <m/>
    <m/>
    <m/>
    <m/>
    <m/>
    <m/>
    <m/>
    <m/>
  </r>
  <r>
    <x v="50"/>
    <x v="16"/>
    <m/>
    <m/>
    <m/>
    <m/>
    <m/>
    <m/>
    <m/>
    <m/>
    <m/>
    <m/>
    <m/>
    <m/>
    <m/>
    <m/>
    <m/>
    <m/>
    <m/>
  </r>
  <r>
    <x v="50"/>
    <x v="17"/>
    <m/>
    <m/>
    <m/>
    <m/>
    <m/>
    <m/>
    <m/>
    <m/>
    <m/>
    <m/>
    <m/>
    <m/>
    <m/>
    <m/>
    <m/>
    <m/>
    <m/>
  </r>
  <r>
    <x v="50"/>
    <x v="18"/>
    <m/>
    <m/>
    <m/>
    <m/>
    <m/>
    <m/>
    <m/>
    <m/>
    <m/>
    <m/>
    <m/>
    <m/>
    <m/>
    <m/>
    <m/>
    <m/>
    <m/>
  </r>
  <r>
    <x v="50"/>
    <x v="19"/>
    <m/>
    <m/>
    <m/>
    <m/>
    <m/>
    <m/>
    <m/>
    <m/>
    <m/>
    <m/>
    <m/>
    <m/>
    <m/>
    <m/>
    <m/>
    <m/>
    <m/>
  </r>
  <r>
    <x v="50"/>
    <x v="20"/>
    <m/>
    <m/>
    <m/>
    <m/>
    <m/>
    <m/>
    <m/>
    <m/>
    <m/>
    <m/>
    <m/>
    <m/>
    <m/>
    <m/>
    <m/>
    <m/>
    <m/>
  </r>
  <r>
    <x v="50"/>
    <x v="21"/>
    <m/>
    <m/>
    <m/>
    <m/>
    <m/>
    <m/>
    <m/>
    <m/>
    <m/>
    <m/>
    <m/>
    <m/>
    <m/>
    <m/>
    <m/>
    <m/>
    <m/>
  </r>
  <r>
    <x v="50"/>
    <x v="22"/>
    <m/>
    <m/>
    <m/>
    <m/>
    <m/>
    <m/>
    <m/>
    <m/>
    <m/>
    <m/>
    <m/>
    <m/>
    <m/>
    <m/>
    <m/>
    <m/>
    <m/>
  </r>
  <r>
    <x v="50"/>
    <x v="23"/>
    <m/>
    <m/>
    <m/>
    <m/>
    <m/>
    <m/>
    <m/>
    <m/>
    <m/>
    <m/>
    <m/>
    <m/>
    <m/>
    <m/>
    <m/>
    <m/>
    <m/>
  </r>
  <r>
    <x v="50"/>
    <x v="24"/>
    <m/>
    <m/>
    <m/>
    <m/>
    <m/>
    <m/>
    <m/>
    <m/>
    <m/>
    <m/>
    <m/>
    <m/>
    <m/>
    <m/>
    <m/>
    <m/>
    <m/>
  </r>
  <r>
    <x v="50"/>
    <x v="25"/>
    <m/>
    <m/>
    <m/>
    <m/>
    <m/>
    <m/>
    <m/>
    <m/>
    <m/>
    <m/>
    <m/>
    <m/>
    <m/>
    <m/>
    <m/>
    <m/>
    <m/>
  </r>
  <r>
    <x v="50"/>
    <x v="26"/>
    <m/>
    <m/>
    <m/>
    <m/>
    <m/>
    <m/>
    <m/>
    <m/>
    <m/>
    <m/>
    <m/>
    <m/>
    <m/>
    <m/>
    <m/>
    <m/>
    <m/>
  </r>
  <r>
    <x v="50"/>
    <x v="27"/>
    <m/>
    <m/>
    <m/>
    <m/>
    <m/>
    <m/>
    <m/>
    <m/>
    <m/>
    <m/>
    <m/>
    <m/>
    <m/>
    <m/>
    <m/>
    <m/>
    <m/>
  </r>
  <r>
    <x v="50"/>
    <x v="28"/>
    <m/>
    <m/>
    <m/>
    <m/>
    <m/>
    <m/>
    <m/>
    <m/>
    <m/>
    <m/>
    <m/>
    <m/>
    <m/>
    <m/>
    <m/>
    <m/>
    <m/>
  </r>
  <r>
    <x v="50"/>
    <x v="29"/>
    <m/>
    <m/>
    <m/>
    <m/>
    <m/>
    <m/>
    <m/>
    <m/>
    <m/>
    <m/>
    <m/>
    <m/>
    <m/>
    <m/>
    <m/>
    <m/>
    <m/>
  </r>
  <r>
    <x v="50"/>
    <x v="30"/>
    <m/>
    <m/>
    <m/>
    <m/>
    <m/>
    <m/>
    <m/>
    <m/>
    <m/>
    <m/>
    <m/>
    <m/>
    <m/>
    <m/>
    <m/>
    <m/>
    <m/>
  </r>
  <r>
    <x v="50"/>
    <x v="31"/>
    <m/>
    <m/>
    <m/>
    <m/>
    <m/>
    <m/>
    <m/>
    <m/>
    <m/>
    <m/>
    <m/>
    <m/>
    <m/>
    <m/>
    <m/>
    <m/>
    <m/>
  </r>
  <r>
    <x v="50"/>
    <x v="32"/>
    <m/>
    <m/>
    <m/>
    <m/>
    <m/>
    <m/>
    <m/>
    <m/>
    <m/>
    <m/>
    <m/>
    <m/>
    <m/>
    <m/>
    <m/>
    <m/>
    <m/>
  </r>
  <r>
    <x v="50"/>
    <x v="33"/>
    <m/>
    <m/>
    <m/>
    <m/>
    <m/>
    <m/>
    <m/>
    <m/>
    <m/>
    <m/>
    <m/>
    <m/>
    <m/>
    <m/>
    <m/>
    <m/>
    <m/>
  </r>
  <r>
    <x v="50"/>
    <x v="34"/>
    <m/>
    <m/>
    <m/>
    <m/>
    <m/>
    <m/>
    <m/>
    <m/>
    <m/>
    <m/>
    <m/>
    <m/>
    <m/>
    <m/>
    <m/>
    <m/>
    <m/>
  </r>
  <r>
    <x v="50"/>
    <x v="35"/>
    <m/>
    <m/>
    <m/>
    <m/>
    <m/>
    <m/>
    <m/>
    <m/>
    <m/>
    <m/>
    <m/>
    <m/>
    <m/>
    <m/>
    <m/>
    <m/>
    <m/>
  </r>
  <r>
    <x v="50"/>
    <x v="36"/>
    <m/>
    <m/>
    <m/>
    <m/>
    <m/>
    <m/>
    <m/>
    <m/>
    <m/>
    <m/>
    <m/>
    <m/>
    <m/>
    <m/>
    <m/>
    <m/>
    <m/>
  </r>
  <r>
    <x v="50"/>
    <x v="37"/>
    <m/>
    <m/>
    <m/>
    <m/>
    <m/>
    <m/>
    <m/>
    <m/>
    <m/>
    <m/>
    <m/>
    <m/>
    <m/>
    <m/>
    <m/>
    <m/>
    <m/>
  </r>
  <r>
    <x v="50"/>
    <x v="38"/>
    <m/>
    <m/>
    <m/>
    <m/>
    <m/>
    <m/>
    <m/>
    <m/>
    <m/>
    <m/>
    <m/>
    <m/>
    <m/>
    <m/>
    <m/>
    <m/>
    <m/>
  </r>
  <r>
    <x v="50"/>
    <x v="39"/>
    <m/>
    <m/>
    <m/>
    <m/>
    <m/>
    <m/>
    <m/>
    <m/>
    <m/>
    <m/>
    <m/>
    <m/>
    <m/>
    <m/>
    <m/>
    <m/>
    <m/>
  </r>
  <r>
    <x v="50"/>
    <x v="40"/>
    <m/>
    <m/>
    <m/>
    <m/>
    <m/>
    <m/>
    <m/>
    <m/>
    <m/>
    <m/>
    <m/>
    <m/>
    <m/>
    <m/>
    <m/>
    <m/>
    <m/>
  </r>
  <r>
    <x v="50"/>
    <x v="41"/>
    <m/>
    <m/>
    <m/>
    <m/>
    <m/>
    <m/>
    <m/>
    <m/>
    <m/>
    <m/>
    <m/>
    <m/>
    <m/>
    <m/>
    <m/>
    <m/>
    <m/>
  </r>
  <r>
    <x v="50"/>
    <x v="42"/>
    <m/>
    <m/>
    <m/>
    <m/>
    <m/>
    <m/>
    <m/>
    <m/>
    <m/>
    <m/>
    <m/>
    <m/>
    <m/>
    <m/>
    <m/>
    <m/>
    <m/>
  </r>
  <r>
    <x v="50"/>
    <x v="43"/>
    <m/>
    <m/>
    <m/>
    <m/>
    <m/>
    <m/>
    <m/>
    <m/>
    <m/>
    <m/>
    <m/>
    <m/>
    <m/>
    <m/>
    <m/>
    <m/>
    <m/>
  </r>
  <r>
    <x v="50"/>
    <x v="44"/>
    <m/>
    <m/>
    <m/>
    <m/>
    <m/>
    <m/>
    <m/>
    <m/>
    <m/>
    <m/>
    <m/>
    <m/>
    <m/>
    <m/>
    <m/>
    <m/>
    <m/>
  </r>
  <r>
    <x v="50"/>
    <x v="45"/>
    <m/>
    <m/>
    <m/>
    <m/>
    <m/>
    <m/>
    <m/>
    <m/>
    <m/>
    <m/>
    <m/>
    <m/>
    <m/>
    <m/>
    <m/>
    <m/>
    <m/>
  </r>
  <r>
    <x v="50"/>
    <x v="46"/>
    <m/>
    <m/>
    <m/>
    <m/>
    <m/>
    <m/>
    <m/>
    <m/>
    <m/>
    <m/>
    <m/>
    <m/>
    <m/>
    <m/>
    <m/>
    <m/>
    <m/>
  </r>
  <r>
    <x v="50"/>
    <x v="47"/>
    <m/>
    <m/>
    <m/>
    <m/>
    <m/>
    <m/>
    <m/>
    <m/>
    <m/>
    <m/>
    <m/>
    <m/>
    <m/>
    <m/>
    <m/>
    <m/>
    <m/>
  </r>
  <r>
    <x v="50"/>
    <x v="48"/>
    <m/>
    <m/>
    <m/>
    <m/>
    <m/>
    <m/>
    <m/>
    <m/>
    <m/>
    <m/>
    <m/>
    <m/>
    <m/>
    <m/>
    <m/>
    <m/>
    <m/>
  </r>
  <r>
    <x v="50"/>
    <x v="49"/>
    <m/>
    <m/>
    <m/>
    <m/>
    <m/>
    <m/>
    <m/>
    <m/>
    <m/>
    <m/>
    <m/>
    <m/>
    <m/>
    <m/>
    <m/>
    <m/>
    <m/>
  </r>
  <r>
    <x v="50"/>
    <x v="50"/>
    <m/>
    <m/>
    <m/>
    <m/>
    <m/>
    <m/>
    <m/>
    <m/>
    <m/>
    <m/>
    <m/>
    <m/>
    <m/>
    <m/>
    <m/>
    <m/>
    <m/>
  </r>
  <r>
    <x v="50"/>
    <x v="51"/>
    <m/>
    <m/>
    <m/>
    <m/>
    <m/>
    <m/>
    <m/>
    <m/>
    <m/>
    <m/>
    <m/>
    <m/>
    <m/>
    <m/>
    <m/>
    <m/>
    <m/>
  </r>
  <r>
    <x v="51"/>
    <x v="0"/>
    <m/>
    <m/>
    <m/>
    <m/>
    <m/>
    <m/>
    <m/>
    <m/>
    <m/>
    <m/>
    <m/>
    <m/>
    <m/>
    <m/>
    <m/>
    <m/>
    <m/>
  </r>
  <r>
    <x v="51"/>
    <x v="1"/>
    <m/>
    <m/>
    <m/>
    <m/>
    <m/>
    <m/>
    <n v="1"/>
    <n v="1"/>
    <m/>
    <m/>
    <n v="1"/>
    <n v="1"/>
    <m/>
    <m/>
    <n v="2"/>
    <n v="5"/>
    <m/>
  </r>
  <r>
    <x v="51"/>
    <x v="2"/>
    <m/>
    <m/>
    <m/>
    <m/>
    <m/>
    <m/>
    <m/>
    <m/>
    <m/>
    <m/>
    <m/>
    <m/>
    <m/>
    <m/>
    <m/>
    <m/>
    <m/>
  </r>
  <r>
    <x v="51"/>
    <x v="3"/>
    <m/>
    <m/>
    <m/>
    <m/>
    <m/>
    <m/>
    <n v="5"/>
    <n v="2"/>
    <n v="6"/>
    <m/>
    <n v="3"/>
    <n v="3"/>
    <m/>
    <n v="2"/>
    <n v="2"/>
    <n v="7"/>
    <m/>
  </r>
  <r>
    <x v="51"/>
    <x v="4"/>
    <m/>
    <m/>
    <m/>
    <m/>
    <m/>
    <m/>
    <n v="5"/>
    <n v="1"/>
    <n v="4"/>
    <m/>
    <m/>
    <m/>
    <m/>
    <n v="1"/>
    <m/>
    <n v="4"/>
    <m/>
  </r>
  <r>
    <x v="51"/>
    <x v="5"/>
    <m/>
    <m/>
    <m/>
    <m/>
    <m/>
    <m/>
    <m/>
    <m/>
    <m/>
    <m/>
    <m/>
    <m/>
    <m/>
    <m/>
    <m/>
    <m/>
    <m/>
  </r>
  <r>
    <x v="51"/>
    <x v="6"/>
    <m/>
    <m/>
    <m/>
    <m/>
    <m/>
    <m/>
    <m/>
    <m/>
    <m/>
    <m/>
    <m/>
    <m/>
    <m/>
    <m/>
    <m/>
    <m/>
    <m/>
  </r>
  <r>
    <x v="51"/>
    <x v="7"/>
    <m/>
    <m/>
    <m/>
    <m/>
    <m/>
    <m/>
    <m/>
    <m/>
    <m/>
    <m/>
    <m/>
    <m/>
    <m/>
    <m/>
    <m/>
    <m/>
    <m/>
  </r>
  <r>
    <x v="51"/>
    <x v="8"/>
    <n v="1"/>
    <m/>
    <m/>
    <m/>
    <m/>
    <m/>
    <n v="5"/>
    <n v="6"/>
    <n v="1"/>
    <m/>
    <n v="4"/>
    <n v="1"/>
    <m/>
    <n v="5"/>
    <n v="2"/>
    <n v="8"/>
    <m/>
  </r>
  <r>
    <x v="51"/>
    <x v="9"/>
    <m/>
    <m/>
    <m/>
    <m/>
    <m/>
    <m/>
    <n v="2"/>
    <n v="2"/>
    <m/>
    <m/>
    <n v="2"/>
    <m/>
    <m/>
    <n v="2"/>
    <n v="2"/>
    <n v="4"/>
    <m/>
  </r>
  <r>
    <x v="51"/>
    <x v="10"/>
    <m/>
    <m/>
    <m/>
    <m/>
    <m/>
    <m/>
    <m/>
    <m/>
    <m/>
    <m/>
    <m/>
    <m/>
    <m/>
    <m/>
    <m/>
    <m/>
    <m/>
  </r>
  <r>
    <x v="51"/>
    <x v="11"/>
    <m/>
    <m/>
    <m/>
    <m/>
    <n v="3"/>
    <m/>
    <m/>
    <m/>
    <m/>
    <m/>
    <n v="2"/>
    <n v="2"/>
    <m/>
    <m/>
    <n v="2"/>
    <n v="4"/>
    <m/>
  </r>
  <r>
    <x v="51"/>
    <x v="12"/>
    <m/>
    <m/>
    <m/>
    <m/>
    <m/>
    <m/>
    <n v="2"/>
    <n v="2"/>
    <n v="1"/>
    <m/>
    <n v="2"/>
    <n v="2"/>
    <m/>
    <n v="2"/>
    <n v="1"/>
    <n v="2"/>
    <m/>
  </r>
  <r>
    <x v="51"/>
    <x v="13"/>
    <n v="1"/>
    <m/>
    <m/>
    <m/>
    <m/>
    <m/>
    <n v="2"/>
    <n v="2"/>
    <n v="1"/>
    <m/>
    <n v="4"/>
    <n v="1"/>
    <m/>
    <n v="1"/>
    <n v="2"/>
    <n v="3"/>
    <m/>
  </r>
  <r>
    <x v="51"/>
    <x v="14"/>
    <m/>
    <m/>
    <m/>
    <m/>
    <m/>
    <m/>
    <m/>
    <m/>
    <m/>
    <m/>
    <m/>
    <m/>
    <m/>
    <m/>
    <m/>
    <m/>
    <m/>
  </r>
  <r>
    <x v="51"/>
    <x v="15"/>
    <m/>
    <m/>
    <m/>
    <m/>
    <m/>
    <m/>
    <m/>
    <m/>
    <m/>
    <m/>
    <m/>
    <m/>
    <m/>
    <m/>
    <m/>
    <m/>
    <m/>
  </r>
  <r>
    <x v="51"/>
    <x v="16"/>
    <m/>
    <m/>
    <m/>
    <m/>
    <m/>
    <m/>
    <n v="2"/>
    <n v="2"/>
    <m/>
    <m/>
    <n v="2"/>
    <m/>
    <m/>
    <n v="2"/>
    <n v="1"/>
    <n v="2"/>
    <m/>
  </r>
  <r>
    <x v="51"/>
    <x v="17"/>
    <m/>
    <m/>
    <m/>
    <m/>
    <m/>
    <m/>
    <n v="1"/>
    <n v="1"/>
    <m/>
    <m/>
    <n v="1"/>
    <m/>
    <m/>
    <n v="1"/>
    <n v="2"/>
    <n v="4"/>
    <m/>
  </r>
  <r>
    <x v="51"/>
    <x v="18"/>
    <m/>
    <m/>
    <m/>
    <m/>
    <m/>
    <m/>
    <m/>
    <n v="1"/>
    <m/>
    <m/>
    <m/>
    <n v="1"/>
    <m/>
    <n v="1"/>
    <n v="1"/>
    <n v="2"/>
    <m/>
  </r>
  <r>
    <x v="51"/>
    <x v="19"/>
    <m/>
    <m/>
    <m/>
    <m/>
    <m/>
    <m/>
    <m/>
    <m/>
    <m/>
    <m/>
    <m/>
    <m/>
    <m/>
    <m/>
    <m/>
    <m/>
    <m/>
  </r>
  <r>
    <x v="51"/>
    <x v="20"/>
    <n v="2"/>
    <m/>
    <m/>
    <m/>
    <m/>
    <m/>
    <n v="2"/>
    <n v="2"/>
    <n v="1"/>
    <m/>
    <n v="2"/>
    <m/>
    <m/>
    <n v="2"/>
    <n v="2"/>
    <n v="5"/>
    <m/>
  </r>
  <r>
    <x v="51"/>
    <x v="21"/>
    <m/>
    <m/>
    <m/>
    <m/>
    <m/>
    <m/>
    <n v="1"/>
    <n v="1"/>
    <m/>
    <m/>
    <n v="1"/>
    <n v="1"/>
    <m/>
    <n v="1"/>
    <n v="1"/>
    <n v="1"/>
    <m/>
  </r>
  <r>
    <x v="51"/>
    <x v="22"/>
    <m/>
    <m/>
    <m/>
    <m/>
    <m/>
    <m/>
    <m/>
    <m/>
    <m/>
    <m/>
    <m/>
    <m/>
    <m/>
    <m/>
    <m/>
    <m/>
    <m/>
  </r>
  <r>
    <x v="51"/>
    <x v="23"/>
    <m/>
    <m/>
    <m/>
    <m/>
    <m/>
    <m/>
    <n v="2"/>
    <n v="2"/>
    <m/>
    <m/>
    <n v="1"/>
    <m/>
    <m/>
    <n v="1"/>
    <n v="1"/>
    <n v="4"/>
    <m/>
  </r>
  <r>
    <x v="51"/>
    <x v="24"/>
    <m/>
    <m/>
    <m/>
    <m/>
    <m/>
    <m/>
    <n v="1"/>
    <n v="1"/>
    <m/>
    <m/>
    <n v="1"/>
    <m/>
    <m/>
    <n v="1"/>
    <n v="1"/>
    <n v="3"/>
    <m/>
  </r>
  <r>
    <x v="51"/>
    <x v="25"/>
    <n v="1"/>
    <m/>
    <m/>
    <m/>
    <m/>
    <m/>
    <n v="2"/>
    <n v="2"/>
    <n v="1"/>
    <m/>
    <n v="4"/>
    <n v="1"/>
    <m/>
    <n v="2"/>
    <n v="2"/>
    <n v="5"/>
    <m/>
  </r>
  <r>
    <x v="51"/>
    <x v="26"/>
    <m/>
    <m/>
    <m/>
    <m/>
    <m/>
    <m/>
    <n v="2"/>
    <n v="2"/>
    <m/>
    <m/>
    <n v="1"/>
    <m/>
    <m/>
    <n v="1"/>
    <n v="1"/>
    <n v="4"/>
    <m/>
  </r>
  <r>
    <x v="51"/>
    <x v="27"/>
    <m/>
    <m/>
    <m/>
    <m/>
    <m/>
    <m/>
    <n v="1"/>
    <n v="1"/>
    <m/>
    <m/>
    <n v="1"/>
    <m/>
    <m/>
    <n v="1"/>
    <n v="1"/>
    <n v="2"/>
    <m/>
  </r>
  <r>
    <x v="51"/>
    <x v="28"/>
    <m/>
    <m/>
    <m/>
    <m/>
    <m/>
    <m/>
    <m/>
    <n v="3"/>
    <m/>
    <m/>
    <m/>
    <m/>
    <m/>
    <m/>
    <m/>
    <m/>
    <m/>
  </r>
  <r>
    <x v="51"/>
    <x v="29"/>
    <n v="2"/>
    <n v="2"/>
    <n v="2"/>
    <n v="2"/>
    <n v="2"/>
    <n v="2"/>
    <n v="2"/>
    <m/>
    <m/>
    <m/>
    <m/>
    <m/>
    <m/>
    <m/>
    <n v="1"/>
    <n v="4"/>
    <m/>
  </r>
  <r>
    <x v="51"/>
    <x v="30"/>
    <n v="1"/>
    <n v="1"/>
    <n v="1"/>
    <n v="1"/>
    <n v="1"/>
    <n v="1"/>
    <n v="1"/>
    <n v="1"/>
    <m/>
    <m/>
    <n v="1"/>
    <n v="1"/>
    <m/>
    <n v="1"/>
    <n v="1"/>
    <n v="3"/>
    <m/>
  </r>
  <r>
    <x v="51"/>
    <x v="31"/>
    <n v="5"/>
    <n v="4"/>
    <n v="5"/>
    <n v="4"/>
    <n v="5"/>
    <n v="5"/>
    <n v="7"/>
    <n v="7"/>
    <n v="8"/>
    <m/>
    <n v="8"/>
    <n v="8"/>
    <m/>
    <n v="7"/>
    <n v="7"/>
    <n v="16"/>
    <m/>
  </r>
  <r>
    <x v="51"/>
    <x v="32"/>
    <m/>
    <m/>
    <m/>
    <m/>
    <m/>
    <m/>
    <m/>
    <m/>
    <m/>
    <m/>
    <m/>
    <m/>
    <m/>
    <n v="1"/>
    <n v="2"/>
    <n v="3"/>
    <m/>
  </r>
  <r>
    <x v="51"/>
    <x v="33"/>
    <m/>
    <m/>
    <m/>
    <m/>
    <m/>
    <m/>
    <n v="2"/>
    <n v="2"/>
    <m/>
    <m/>
    <n v="1"/>
    <m/>
    <m/>
    <n v="1"/>
    <n v="1"/>
    <n v="3"/>
    <m/>
  </r>
  <r>
    <x v="51"/>
    <x v="34"/>
    <m/>
    <m/>
    <m/>
    <m/>
    <m/>
    <m/>
    <n v="1"/>
    <n v="1"/>
    <n v="2"/>
    <m/>
    <m/>
    <n v="2"/>
    <m/>
    <n v="1"/>
    <n v="1"/>
    <n v="6"/>
    <m/>
  </r>
  <r>
    <x v="51"/>
    <x v="35"/>
    <n v="12"/>
    <m/>
    <m/>
    <m/>
    <n v="12"/>
    <m/>
    <n v="6"/>
    <m/>
    <n v="8"/>
    <m/>
    <n v="12"/>
    <n v="12"/>
    <m/>
    <n v="10"/>
    <n v="6"/>
    <n v="16"/>
    <m/>
  </r>
  <r>
    <x v="51"/>
    <x v="36"/>
    <m/>
    <m/>
    <m/>
    <m/>
    <m/>
    <m/>
    <n v="1"/>
    <n v="1"/>
    <m/>
    <m/>
    <n v="3"/>
    <m/>
    <m/>
    <n v="2"/>
    <n v="2"/>
    <n v="4"/>
    <m/>
  </r>
  <r>
    <x v="51"/>
    <x v="37"/>
    <n v="1"/>
    <m/>
    <m/>
    <m/>
    <m/>
    <m/>
    <n v="2"/>
    <n v="3"/>
    <n v="2"/>
    <m/>
    <n v="4"/>
    <n v="1"/>
    <m/>
    <n v="3"/>
    <n v="2"/>
    <n v="5"/>
    <m/>
  </r>
  <r>
    <x v="51"/>
    <x v="38"/>
    <m/>
    <m/>
    <m/>
    <m/>
    <m/>
    <m/>
    <m/>
    <m/>
    <m/>
    <m/>
    <m/>
    <m/>
    <m/>
    <m/>
    <m/>
    <m/>
    <m/>
  </r>
  <r>
    <x v="51"/>
    <x v="39"/>
    <n v="2"/>
    <n v="2"/>
    <n v="2"/>
    <n v="2"/>
    <n v="2"/>
    <n v="2"/>
    <n v="2"/>
    <n v="2"/>
    <n v="2"/>
    <m/>
    <n v="2"/>
    <n v="2"/>
    <m/>
    <n v="2"/>
    <n v="1"/>
    <n v="2"/>
    <m/>
  </r>
  <r>
    <x v="51"/>
    <x v="40"/>
    <m/>
    <m/>
    <m/>
    <m/>
    <m/>
    <m/>
    <n v="5"/>
    <n v="2"/>
    <m/>
    <m/>
    <m/>
    <m/>
    <m/>
    <m/>
    <n v="2"/>
    <n v="4"/>
    <m/>
  </r>
  <r>
    <x v="51"/>
    <x v="41"/>
    <m/>
    <m/>
    <m/>
    <m/>
    <m/>
    <m/>
    <m/>
    <m/>
    <m/>
    <m/>
    <m/>
    <m/>
    <m/>
    <m/>
    <m/>
    <m/>
    <m/>
  </r>
  <r>
    <x v="51"/>
    <x v="42"/>
    <n v="1"/>
    <m/>
    <m/>
    <m/>
    <m/>
    <m/>
    <n v="9"/>
    <n v="7"/>
    <n v="3"/>
    <m/>
    <n v="4"/>
    <n v="3"/>
    <m/>
    <n v="5"/>
    <n v="5"/>
    <n v="14"/>
    <m/>
  </r>
  <r>
    <x v="51"/>
    <x v="43"/>
    <n v="1"/>
    <m/>
    <n v="1"/>
    <m/>
    <n v="1"/>
    <m/>
    <m/>
    <n v="1"/>
    <n v="3"/>
    <m/>
    <n v="2"/>
    <n v="1"/>
    <m/>
    <n v="1"/>
    <n v="2"/>
    <n v="9"/>
    <m/>
  </r>
  <r>
    <x v="51"/>
    <x v="44"/>
    <n v="1"/>
    <m/>
    <m/>
    <m/>
    <m/>
    <m/>
    <n v="2"/>
    <n v="1"/>
    <n v="1"/>
    <m/>
    <n v="4"/>
    <n v="1"/>
    <m/>
    <n v="0"/>
    <n v="2"/>
    <n v="3"/>
    <m/>
  </r>
  <r>
    <x v="51"/>
    <x v="45"/>
    <m/>
    <m/>
    <m/>
    <m/>
    <m/>
    <m/>
    <m/>
    <m/>
    <m/>
    <m/>
    <m/>
    <m/>
    <m/>
    <n v="3"/>
    <n v="2"/>
    <n v="6"/>
    <m/>
  </r>
  <r>
    <x v="51"/>
    <x v="46"/>
    <m/>
    <m/>
    <m/>
    <m/>
    <m/>
    <m/>
    <n v="1"/>
    <n v="1"/>
    <m/>
    <m/>
    <m/>
    <m/>
    <m/>
    <m/>
    <n v="2"/>
    <n v="3"/>
    <m/>
  </r>
  <r>
    <x v="51"/>
    <x v="47"/>
    <n v="1"/>
    <m/>
    <m/>
    <m/>
    <m/>
    <m/>
    <m/>
    <m/>
    <m/>
    <m/>
    <n v="4"/>
    <n v="2"/>
    <m/>
    <n v="4"/>
    <n v="2"/>
    <n v="8"/>
    <m/>
  </r>
  <r>
    <x v="51"/>
    <x v="48"/>
    <n v="4"/>
    <n v="4"/>
    <n v="3"/>
    <n v="4"/>
    <n v="1"/>
    <n v="1"/>
    <n v="4"/>
    <n v="5"/>
    <n v="5"/>
    <m/>
    <n v="6"/>
    <n v="5"/>
    <m/>
    <n v="5"/>
    <n v="4"/>
    <n v="14"/>
    <m/>
  </r>
  <r>
    <x v="51"/>
    <x v="49"/>
    <m/>
    <m/>
    <m/>
    <m/>
    <m/>
    <m/>
    <n v="1"/>
    <n v="2"/>
    <n v="2"/>
    <m/>
    <m/>
    <n v="2"/>
    <m/>
    <n v="2"/>
    <n v="2"/>
    <n v="6"/>
    <m/>
  </r>
  <r>
    <x v="51"/>
    <x v="50"/>
    <n v="3"/>
    <m/>
    <m/>
    <m/>
    <m/>
    <m/>
    <n v="3"/>
    <n v="3"/>
    <m/>
    <m/>
    <n v="3"/>
    <n v="1"/>
    <m/>
    <n v="1"/>
    <n v="1"/>
    <n v="7"/>
    <m/>
  </r>
  <r>
    <x v="51"/>
    <x v="51"/>
    <m/>
    <m/>
    <m/>
    <m/>
    <m/>
    <m/>
    <m/>
    <n v="3"/>
    <m/>
    <m/>
    <m/>
    <m/>
    <m/>
    <n v="3"/>
    <n v="4"/>
    <n v="10"/>
    <m/>
  </r>
  <r>
    <x v="51"/>
    <x v="81"/>
    <n v="3"/>
    <n v="3"/>
    <n v="3"/>
    <n v="3"/>
    <m/>
    <m/>
    <n v="2"/>
    <n v="2"/>
    <n v="3"/>
    <m/>
    <n v="2"/>
    <n v="4"/>
    <m/>
    <n v="2"/>
    <n v="2"/>
    <n v="4"/>
    <m/>
  </r>
  <r>
    <x v="51"/>
    <x v="53"/>
    <n v="2"/>
    <n v="1"/>
    <n v="1"/>
    <n v="1"/>
    <m/>
    <m/>
    <m/>
    <m/>
    <n v="2"/>
    <m/>
    <n v="2"/>
    <n v="1"/>
    <m/>
    <m/>
    <m/>
    <m/>
    <m/>
  </r>
  <r>
    <x v="51"/>
    <x v="82"/>
    <m/>
    <m/>
    <m/>
    <m/>
    <m/>
    <m/>
    <m/>
    <n v="1"/>
    <n v="1"/>
    <m/>
    <m/>
    <m/>
    <m/>
    <n v="1"/>
    <m/>
    <n v="1"/>
    <m/>
  </r>
  <r>
    <x v="51"/>
    <x v="83"/>
    <n v="1"/>
    <m/>
    <m/>
    <m/>
    <m/>
    <m/>
    <n v="3"/>
    <n v="3"/>
    <n v="2"/>
    <m/>
    <n v="3"/>
    <n v="2"/>
    <m/>
    <n v="2"/>
    <n v="2"/>
    <n v="6"/>
    <m/>
  </r>
  <r>
    <x v="51"/>
    <x v="84"/>
    <n v="1"/>
    <m/>
    <m/>
    <m/>
    <m/>
    <m/>
    <n v="1"/>
    <n v="1"/>
    <n v="1"/>
    <m/>
    <n v="1"/>
    <n v="1"/>
    <m/>
    <n v="1"/>
    <n v="1"/>
    <n v="3"/>
    <m/>
  </r>
  <r>
    <x v="51"/>
    <x v="85"/>
    <n v="1"/>
    <m/>
    <m/>
    <m/>
    <m/>
    <m/>
    <n v="1"/>
    <n v="1"/>
    <n v="1"/>
    <m/>
    <n v="1"/>
    <n v="1"/>
    <m/>
    <n v="1"/>
    <n v="1"/>
    <n v="2"/>
    <m/>
  </r>
  <r>
    <x v="52"/>
    <x v="0"/>
    <m/>
    <m/>
    <m/>
    <m/>
    <m/>
    <m/>
    <m/>
    <m/>
    <m/>
    <m/>
    <m/>
    <m/>
    <m/>
    <m/>
    <m/>
    <m/>
    <m/>
  </r>
  <r>
    <x v="52"/>
    <x v="1"/>
    <n v="0"/>
    <n v="0"/>
    <n v="0"/>
    <n v="0"/>
    <m/>
    <n v="0"/>
    <n v="15"/>
    <n v="1"/>
    <n v="0"/>
    <n v="0"/>
    <n v="0"/>
    <n v="0"/>
    <n v="4"/>
    <n v="3"/>
    <n v="2"/>
    <n v="0"/>
    <m/>
  </r>
  <r>
    <x v="52"/>
    <x v="2"/>
    <n v="0"/>
    <n v="0"/>
    <n v="0"/>
    <n v="0"/>
    <n v="0"/>
    <n v="0"/>
    <n v="8"/>
    <n v="1"/>
    <n v="0"/>
    <n v="0"/>
    <n v="0"/>
    <n v="0"/>
    <n v="0"/>
    <n v="0"/>
    <n v="0"/>
    <n v="0"/>
    <m/>
  </r>
  <r>
    <x v="52"/>
    <x v="3"/>
    <m/>
    <m/>
    <m/>
    <m/>
    <m/>
    <m/>
    <m/>
    <m/>
    <m/>
    <m/>
    <m/>
    <m/>
    <m/>
    <m/>
    <m/>
    <m/>
    <m/>
  </r>
  <r>
    <x v="52"/>
    <x v="4"/>
    <n v="3"/>
    <n v="1"/>
    <n v="2"/>
    <n v="1"/>
    <n v="3"/>
    <n v="1"/>
    <n v="40"/>
    <n v="44"/>
    <n v="14"/>
    <n v="9"/>
    <n v="10"/>
    <n v="17"/>
    <n v="13"/>
    <n v="30"/>
    <n v="13"/>
    <n v="5"/>
    <m/>
  </r>
  <r>
    <x v="52"/>
    <x v="5"/>
    <m/>
    <m/>
    <m/>
    <m/>
    <m/>
    <m/>
    <m/>
    <m/>
    <m/>
    <m/>
    <m/>
    <m/>
    <m/>
    <m/>
    <m/>
    <m/>
    <m/>
  </r>
  <r>
    <x v="52"/>
    <x v="6"/>
    <m/>
    <m/>
    <m/>
    <m/>
    <m/>
    <m/>
    <m/>
    <m/>
    <m/>
    <m/>
    <m/>
    <m/>
    <m/>
    <m/>
    <m/>
    <m/>
    <m/>
  </r>
  <r>
    <x v="52"/>
    <x v="7"/>
    <m/>
    <m/>
    <m/>
    <m/>
    <m/>
    <m/>
    <m/>
    <m/>
    <m/>
    <m/>
    <m/>
    <m/>
    <m/>
    <m/>
    <m/>
    <m/>
    <m/>
  </r>
  <r>
    <x v="52"/>
    <x v="8"/>
    <n v="0"/>
    <n v="0"/>
    <n v="0"/>
    <n v="0"/>
    <n v="0"/>
    <n v="0"/>
    <n v="40"/>
    <n v="0"/>
    <n v="0"/>
    <n v="0"/>
    <n v="0"/>
    <n v="0"/>
    <n v="0"/>
    <n v="50"/>
    <n v="6"/>
    <n v="0"/>
    <m/>
  </r>
  <r>
    <x v="52"/>
    <x v="9"/>
    <n v="0"/>
    <n v="0"/>
    <n v="0"/>
    <n v="0"/>
    <n v="0"/>
    <n v="0"/>
    <n v="1"/>
    <n v="0"/>
    <n v="0"/>
    <n v="0"/>
    <n v="1"/>
    <n v="1"/>
    <n v="1"/>
    <n v="0"/>
    <n v="1"/>
    <n v="1"/>
    <m/>
  </r>
  <r>
    <x v="52"/>
    <x v="10"/>
    <m/>
    <m/>
    <m/>
    <m/>
    <m/>
    <m/>
    <m/>
    <m/>
    <m/>
    <m/>
    <m/>
    <m/>
    <m/>
    <m/>
    <m/>
    <m/>
    <m/>
  </r>
  <r>
    <x v="52"/>
    <x v="11"/>
    <m/>
    <m/>
    <m/>
    <m/>
    <m/>
    <m/>
    <m/>
    <m/>
    <m/>
    <m/>
    <m/>
    <m/>
    <m/>
    <m/>
    <m/>
    <m/>
    <m/>
  </r>
  <r>
    <x v="52"/>
    <x v="12"/>
    <m/>
    <m/>
    <m/>
    <m/>
    <m/>
    <m/>
    <m/>
    <m/>
    <m/>
    <m/>
    <m/>
    <m/>
    <m/>
    <m/>
    <m/>
    <m/>
    <m/>
  </r>
  <r>
    <x v="52"/>
    <x v="13"/>
    <m/>
    <m/>
    <m/>
    <m/>
    <m/>
    <m/>
    <m/>
    <m/>
    <m/>
    <m/>
    <m/>
    <m/>
    <m/>
    <m/>
    <m/>
    <m/>
    <m/>
  </r>
  <r>
    <x v="52"/>
    <x v="14"/>
    <m/>
    <m/>
    <m/>
    <m/>
    <m/>
    <m/>
    <m/>
    <m/>
    <m/>
    <m/>
    <m/>
    <m/>
    <m/>
    <m/>
    <m/>
    <m/>
    <m/>
  </r>
  <r>
    <x v="52"/>
    <x v="15"/>
    <n v="0"/>
    <n v="0"/>
    <n v="0"/>
    <n v="0"/>
    <n v="0"/>
    <n v="0"/>
    <n v="6"/>
    <n v="0"/>
    <n v="0"/>
    <n v="0"/>
    <n v="0"/>
    <n v="0"/>
    <n v="0"/>
    <n v="4"/>
    <n v="2"/>
    <n v="0"/>
    <m/>
  </r>
  <r>
    <x v="52"/>
    <x v="16"/>
    <m/>
    <m/>
    <m/>
    <m/>
    <m/>
    <m/>
    <m/>
    <m/>
    <m/>
    <m/>
    <m/>
    <m/>
    <m/>
    <m/>
    <m/>
    <m/>
    <m/>
  </r>
  <r>
    <x v="52"/>
    <x v="17"/>
    <m/>
    <m/>
    <m/>
    <m/>
    <m/>
    <m/>
    <m/>
    <m/>
    <m/>
    <m/>
    <m/>
    <m/>
    <m/>
    <m/>
    <m/>
    <m/>
    <m/>
  </r>
  <r>
    <x v="52"/>
    <x v="18"/>
    <m/>
    <m/>
    <m/>
    <m/>
    <m/>
    <m/>
    <m/>
    <m/>
    <m/>
    <m/>
    <m/>
    <m/>
    <m/>
    <m/>
    <m/>
    <m/>
    <m/>
  </r>
  <r>
    <x v="52"/>
    <x v="19"/>
    <m/>
    <m/>
    <m/>
    <m/>
    <m/>
    <m/>
    <m/>
    <m/>
    <m/>
    <m/>
    <m/>
    <m/>
    <m/>
    <m/>
    <m/>
    <m/>
    <m/>
  </r>
  <r>
    <x v="52"/>
    <x v="20"/>
    <m/>
    <m/>
    <m/>
    <m/>
    <m/>
    <m/>
    <m/>
    <m/>
    <m/>
    <m/>
    <m/>
    <m/>
    <m/>
    <m/>
    <m/>
    <m/>
    <m/>
  </r>
  <r>
    <x v="52"/>
    <x v="21"/>
    <m/>
    <m/>
    <m/>
    <m/>
    <m/>
    <m/>
    <m/>
    <m/>
    <m/>
    <m/>
    <m/>
    <m/>
    <m/>
    <m/>
    <m/>
    <m/>
    <m/>
  </r>
  <r>
    <x v="52"/>
    <x v="22"/>
    <m/>
    <m/>
    <m/>
    <m/>
    <m/>
    <m/>
    <m/>
    <m/>
    <m/>
    <m/>
    <m/>
    <m/>
    <m/>
    <m/>
    <m/>
    <m/>
    <m/>
  </r>
  <r>
    <x v="52"/>
    <x v="23"/>
    <m/>
    <m/>
    <m/>
    <m/>
    <m/>
    <m/>
    <m/>
    <m/>
    <m/>
    <m/>
    <m/>
    <m/>
    <m/>
    <m/>
    <m/>
    <m/>
    <m/>
  </r>
  <r>
    <x v="52"/>
    <x v="24"/>
    <n v="0"/>
    <n v="0"/>
    <n v="0"/>
    <n v="0"/>
    <n v="0"/>
    <n v="0"/>
    <n v="1"/>
    <n v="0"/>
    <n v="0"/>
    <n v="0"/>
    <n v="1"/>
    <n v="1"/>
    <n v="1"/>
    <n v="0"/>
    <n v="1"/>
    <n v="1"/>
    <m/>
  </r>
  <r>
    <x v="52"/>
    <x v="25"/>
    <n v="0"/>
    <n v="0"/>
    <n v="0"/>
    <n v="0"/>
    <n v="0"/>
    <n v="0"/>
    <n v="30"/>
    <n v="0"/>
    <n v="0"/>
    <n v="0"/>
    <n v="18"/>
    <n v="0"/>
    <n v="0"/>
    <n v="23"/>
    <n v="6"/>
    <n v="0"/>
    <m/>
  </r>
  <r>
    <x v="52"/>
    <x v="26"/>
    <m/>
    <m/>
    <m/>
    <m/>
    <m/>
    <m/>
    <m/>
    <m/>
    <m/>
    <m/>
    <m/>
    <m/>
    <m/>
    <m/>
    <m/>
    <m/>
    <m/>
  </r>
  <r>
    <x v="52"/>
    <x v="27"/>
    <m/>
    <m/>
    <m/>
    <m/>
    <m/>
    <m/>
    <m/>
    <m/>
    <m/>
    <m/>
    <m/>
    <m/>
    <m/>
    <m/>
    <m/>
    <m/>
    <m/>
  </r>
  <r>
    <x v="52"/>
    <x v="28"/>
    <m/>
    <m/>
    <m/>
    <m/>
    <m/>
    <m/>
    <m/>
    <m/>
    <m/>
    <m/>
    <m/>
    <m/>
    <m/>
    <m/>
    <m/>
    <m/>
    <m/>
  </r>
  <r>
    <x v="52"/>
    <x v="29"/>
    <m/>
    <m/>
    <m/>
    <m/>
    <m/>
    <m/>
    <m/>
    <m/>
    <m/>
    <m/>
    <m/>
    <m/>
    <m/>
    <m/>
    <m/>
    <m/>
    <m/>
  </r>
  <r>
    <x v="52"/>
    <x v="30"/>
    <m/>
    <m/>
    <m/>
    <m/>
    <m/>
    <m/>
    <m/>
    <m/>
    <m/>
    <m/>
    <m/>
    <m/>
    <m/>
    <m/>
    <m/>
    <m/>
    <m/>
  </r>
  <r>
    <x v="52"/>
    <x v="31"/>
    <m/>
    <m/>
    <m/>
    <m/>
    <m/>
    <m/>
    <m/>
    <m/>
    <m/>
    <m/>
    <m/>
    <m/>
    <m/>
    <m/>
    <m/>
    <m/>
    <m/>
  </r>
  <r>
    <x v="52"/>
    <x v="32"/>
    <n v="0"/>
    <n v="0"/>
    <n v="0"/>
    <n v="0"/>
    <n v="0"/>
    <n v="0"/>
    <n v="5"/>
    <n v="0"/>
    <n v="0"/>
    <n v="0"/>
    <n v="0"/>
    <n v="0"/>
    <n v="0"/>
    <n v="0"/>
    <n v="0"/>
    <n v="0"/>
    <m/>
  </r>
  <r>
    <x v="52"/>
    <x v="33"/>
    <m/>
    <m/>
    <m/>
    <m/>
    <m/>
    <m/>
    <m/>
    <m/>
    <m/>
    <m/>
    <m/>
    <m/>
    <m/>
    <m/>
    <m/>
    <m/>
    <m/>
  </r>
  <r>
    <x v="52"/>
    <x v="34"/>
    <m/>
    <m/>
    <m/>
    <m/>
    <m/>
    <m/>
    <m/>
    <m/>
    <m/>
    <m/>
    <m/>
    <m/>
    <m/>
    <m/>
    <m/>
    <m/>
    <m/>
  </r>
  <r>
    <x v="52"/>
    <x v="35"/>
    <m/>
    <m/>
    <m/>
    <m/>
    <m/>
    <m/>
    <m/>
    <m/>
    <m/>
    <m/>
    <m/>
    <m/>
    <m/>
    <m/>
    <m/>
    <m/>
    <m/>
  </r>
  <r>
    <x v="52"/>
    <x v="36"/>
    <n v="0"/>
    <n v="0"/>
    <n v="0"/>
    <n v="0"/>
    <n v="0"/>
    <n v="0"/>
    <n v="4"/>
    <n v="0"/>
    <n v="0"/>
    <n v="0"/>
    <n v="4"/>
    <n v="4"/>
    <n v="4"/>
    <n v="1"/>
    <n v="4"/>
    <n v="4"/>
    <m/>
  </r>
  <r>
    <x v="52"/>
    <x v="37"/>
    <m/>
    <m/>
    <m/>
    <m/>
    <m/>
    <m/>
    <m/>
    <m/>
    <m/>
    <m/>
    <m/>
    <m/>
    <m/>
    <m/>
    <m/>
    <m/>
    <m/>
  </r>
  <r>
    <x v="52"/>
    <x v="38"/>
    <m/>
    <m/>
    <m/>
    <m/>
    <m/>
    <m/>
    <m/>
    <m/>
    <m/>
    <m/>
    <m/>
    <m/>
    <m/>
    <m/>
    <m/>
    <m/>
    <m/>
  </r>
  <r>
    <x v="52"/>
    <x v="39"/>
    <m/>
    <m/>
    <m/>
    <m/>
    <m/>
    <m/>
    <m/>
    <m/>
    <m/>
    <m/>
    <m/>
    <m/>
    <m/>
    <m/>
    <m/>
    <m/>
    <m/>
  </r>
  <r>
    <x v="52"/>
    <x v="40"/>
    <m/>
    <m/>
    <m/>
    <m/>
    <m/>
    <m/>
    <m/>
    <m/>
    <m/>
    <m/>
    <m/>
    <m/>
    <m/>
    <m/>
    <m/>
    <m/>
    <m/>
  </r>
  <r>
    <x v="52"/>
    <x v="41"/>
    <m/>
    <m/>
    <m/>
    <m/>
    <m/>
    <m/>
    <m/>
    <m/>
    <m/>
    <m/>
    <m/>
    <m/>
    <m/>
    <m/>
    <m/>
    <m/>
    <m/>
  </r>
  <r>
    <x v="52"/>
    <x v="42"/>
    <m/>
    <m/>
    <m/>
    <m/>
    <m/>
    <m/>
    <m/>
    <m/>
    <m/>
    <m/>
    <m/>
    <m/>
    <m/>
    <m/>
    <m/>
    <m/>
    <m/>
  </r>
  <r>
    <x v="52"/>
    <x v="43"/>
    <m/>
    <m/>
    <m/>
    <m/>
    <m/>
    <m/>
    <m/>
    <m/>
    <m/>
    <m/>
    <m/>
    <m/>
    <m/>
    <m/>
    <m/>
    <m/>
    <m/>
  </r>
  <r>
    <x v="52"/>
    <x v="44"/>
    <m/>
    <m/>
    <m/>
    <m/>
    <m/>
    <m/>
    <m/>
    <m/>
    <m/>
    <m/>
    <m/>
    <m/>
    <m/>
    <m/>
    <m/>
    <m/>
    <m/>
  </r>
  <r>
    <x v="52"/>
    <x v="45"/>
    <m/>
    <m/>
    <m/>
    <m/>
    <m/>
    <m/>
    <m/>
    <m/>
    <m/>
    <m/>
    <m/>
    <m/>
    <m/>
    <m/>
    <m/>
    <m/>
    <m/>
  </r>
  <r>
    <x v="52"/>
    <x v="46"/>
    <n v="0"/>
    <n v="0"/>
    <n v="0"/>
    <n v="0"/>
    <n v="0"/>
    <n v="0"/>
    <n v="0"/>
    <n v="0"/>
    <n v="0"/>
    <n v="0"/>
    <n v="0"/>
    <n v="0"/>
    <n v="0"/>
    <n v="0"/>
    <n v="0"/>
    <n v="1"/>
    <m/>
  </r>
  <r>
    <x v="52"/>
    <x v="47"/>
    <m/>
    <m/>
    <m/>
    <m/>
    <m/>
    <m/>
    <m/>
    <m/>
    <m/>
    <m/>
    <m/>
    <m/>
    <m/>
    <m/>
    <m/>
    <m/>
    <m/>
  </r>
  <r>
    <x v="52"/>
    <x v="48"/>
    <m/>
    <m/>
    <m/>
    <m/>
    <m/>
    <m/>
    <m/>
    <m/>
    <m/>
    <m/>
    <m/>
    <m/>
    <m/>
    <m/>
    <m/>
    <m/>
    <m/>
  </r>
  <r>
    <x v="52"/>
    <x v="49"/>
    <m/>
    <m/>
    <m/>
    <m/>
    <m/>
    <m/>
    <m/>
    <m/>
    <m/>
    <m/>
    <m/>
    <m/>
    <m/>
    <m/>
    <m/>
    <m/>
    <m/>
  </r>
  <r>
    <x v="52"/>
    <x v="50"/>
    <m/>
    <m/>
    <m/>
    <m/>
    <m/>
    <m/>
    <n v="30"/>
    <m/>
    <m/>
    <m/>
    <m/>
    <m/>
    <m/>
    <n v="30"/>
    <m/>
    <m/>
    <m/>
  </r>
  <r>
    <x v="52"/>
    <x v="51"/>
    <n v="2"/>
    <n v="2"/>
    <n v="2"/>
    <n v="0"/>
    <n v="0"/>
    <n v="0"/>
    <n v="15"/>
    <n v="0"/>
    <n v="0"/>
    <n v="0"/>
    <n v="0"/>
    <n v="2"/>
    <n v="2"/>
    <n v="3"/>
    <n v="1"/>
    <n v="3"/>
    <m/>
  </r>
  <r>
    <x v="53"/>
    <x v="0"/>
    <m/>
    <m/>
    <m/>
    <m/>
    <m/>
    <m/>
    <m/>
    <m/>
    <m/>
    <m/>
    <m/>
    <m/>
    <m/>
    <m/>
    <m/>
    <m/>
    <m/>
  </r>
  <r>
    <x v="53"/>
    <x v="1"/>
    <m/>
    <m/>
    <m/>
    <m/>
    <m/>
    <m/>
    <m/>
    <m/>
    <m/>
    <m/>
    <m/>
    <m/>
    <m/>
    <m/>
    <m/>
    <m/>
    <m/>
  </r>
  <r>
    <x v="53"/>
    <x v="2"/>
    <m/>
    <m/>
    <m/>
    <m/>
    <m/>
    <m/>
    <m/>
    <m/>
    <m/>
    <m/>
    <m/>
    <m/>
    <m/>
    <m/>
    <m/>
    <m/>
    <m/>
  </r>
  <r>
    <x v="53"/>
    <x v="3"/>
    <m/>
    <m/>
    <m/>
    <m/>
    <m/>
    <m/>
    <m/>
    <m/>
    <m/>
    <m/>
    <m/>
    <m/>
    <m/>
    <m/>
    <m/>
    <m/>
    <m/>
  </r>
  <r>
    <x v="53"/>
    <x v="4"/>
    <m/>
    <m/>
    <m/>
    <m/>
    <m/>
    <m/>
    <m/>
    <m/>
    <m/>
    <m/>
    <m/>
    <m/>
    <m/>
    <m/>
    <m/>
    <m/>
    <m/>
  </r>
  <r>
    <x v="53"/>
    <x v="5"/>
    <m/>
    <m/>
    <m/>
    <m/>
    <m/>
    <m/>
    <m/>
    <m/>
    <m/>
    <m/>
    <m/>
    <m/>
    <m/>
    <m/>
    <m/>
    <m/>
    <m/>
  </r>
  <r>
    <x v="53"/>
    <x v="6"/>
    <m/>
    <m/>
    <m/>
    <m/>
    <m/>
    <m/>
    <m/>
    <m/>
    <m/>
    <m/>
    <m/>
    <m/>
    <m/>
    <m/>
    <m/>
    <m/>
    <m/>
  </r>
  <r>
    <x v="53"/>
    <x v="7"/>
    <m/>
    <m/>
    <m/>
    <m/>
    <m/>
    <m/>
    <m/>
    <m/>
    <m/>
    <m/>
    <m/>
    <m/>
    <m/>
    <m/>
    <m/>
    <m/>
    <m/>
  </r>
  <r>
    <x v="53"/>
    <x v="8"/>
    <m/>
    <m/>
    <m/>
    <m/>
    <m/>
    <m/>
    <m/>
    <m/>
    <m/>
    <m/>
    <m/>
    <m/>
    <m/>
    <m/>
    <m/>
    <m/>
    <m/>
  </r>
  <r>
    <x v="53"/>
    <x v="9"/>
    <m/>
    <m/>
    <m/>
    <m/>
    <m/>
    <m/>
    <m/>
    <m/>
    <m/>
    <m/>
    <m/>
    <m/>
    <m/>
    <m/>
    <m/>
    <m/>
    <m/>
  </r>
  <r>
    <x v="53"/>
    <x v="10"/>
    <m/>
    <m/>
    <m/>
    <m/>
    <m/>
    <m/>
    <m/>
    <m/>
    <m/>
    <m/>
    <m/>
    <m/>
    <m/>
    <m/>
    <m/>
    <m/>
    <m/>
  </r>
  <r>
    <x v="53"/>
    <x v="11"/>
    <m/>
    <m/>
    <m/>
    <m/>
    <m/>
    <m/>
    <m/>
    <m/>
    <m/>
    <m/>
    <m/>
    <m/>
    <m/>
    <m/>
    <m/>
    <m/>
    <m/>
  </r>
  <r>
    <x v="53"/>
    <x v="12"/>
    <m/>
    <m/>
    <m/>
    <m/>
    <m/>
    <m/>
    <m/>
    <m/>
    <m/>
    <m/>
    <m/>
    <m/>
    <m/>
    <m/>
    <m/>
    <m/>
    <m/>
  </r>
  <r>
    <x v="53"/>
    <x v="13"/>
    <m/>
    <m/>
    <m/>
    <m/>
    <m/>
    <m/>
    <m/>
    <m/>
    <m/>
    <m/>
    <m/>
    <m/>
    <m/>
    <m/>
    <m/>
    <m/>
    <m/>
  </r>
  <r>
    <x v="53"/>
    <x v="14"/>
    <m/>
    <m/>
    <m/>
    <m/>
    <m/>
    <m/>
    <m/>
    <m/>
    <m/>
    <m/>
    <m/>
    <m/>
    <m/>
    <m/>
    <m/>
    <m/>
    <m/>
  </r>
  <r>
    <x v="53"/>
    <x v="15"/>
    <m/>
    <m/>
    <m/>
    <m/>
    <m/>
    <m/>
    <m/>
    <m/>
    <m/>
    <m/>
    <m/>
    <m/>
    <m/>
    <m/>
    <m/>
    <m/>
    <m/>
  </r>
  <r>
    <x v="53"/>
    <x v="16"/>
    <m/>
    <m/>
    <m/>
    <m/>
    <m/>
    <m/>
    <m/>
    <m/>
    <m/>
    <m/>
    <m/>
    <m/>
    <m/>
    <m/>
    <m/>
    <m/>
    <m/>
  </r>
  <r>
    <x v="53"/>
    <x v="17"/>
    <m/>
    <m/>
    <m/>
    <m/>
    <m/>
    <m/>
    <m/>
    <m/>
    <m/>
    <m/>
    <m/>
    <m/>
    <m/>
    <m/>
    <m/>
    <m/>
    <m/>
  </r>
  <r>
    <x v="53"/>
    <x v="18"/>
    <m/>
    <m/>
    <m/>
    <m/>
    <m/>
    <m/>
    <m/>
    <m/>
    <m/>
    <m/>
    <m/>
    <m/>
    <m/>
    <m/>
    <m/>
    <m/>
    <m/>
  </r>
  <r>
    <x v="53"/>
    <x v="19"/>
    <m/>
    <m/>
    <m/>
    <m/>
    <m/>
    <m/>
    <m/>
    <m/>
    <m/>
    <m/>
    <m/>
    <m/>
    <m/>
    <m/>
    <m/>
    <m/>
    <m/>
  </r>
  <r>
    <x v="53"/>
    <x v="20"/>
    <m/>
    <m/>
    <m/>
    <m/>
    <m/>
    <m/>
    <m/>
    <m/>
    <m/>
    <m/>
    <m/>
    <m/>
    <m/>
    <m/>
    <m/>
    <m/>
    <m/>
  </r>
  <r>
    <x v="53"/>
    <x v="21"/>
    <m/>
    <m/>
    <m/>
    <m/>
    <m/>
    <m/>
    <m/>
    <m/>
    <m/>
    <m/>
    <m/>
    <m/>
    <m/>
    <m/>
    <m/>
    <m/>
    <m/>
  </r>
  <r>
    <x v="53"/>
    <x v="22"/>
    <m/>
    <m/>
    <m/>
    <m/>
    <m/>
    <m/>
    <m/>
    <m/>
    <m/>
    <m/>
    <m/>
    <m/>
    <m/>
    <m/>
    <m/>
    <m/>
    <m/>
  </r>
  <r>
    <x v="53"/>
    <x v="23"/>
    <m/>
    <m/>
    <m/>
    <m/>
    <m/>
    <m/>
    <m/>
    <m/>
    <m/>
    <m/>
    <m/>
    <m/>
    <m/>
    <m/>
    <m/>
    <m/>
    <m/>
  </r>
  <r>
    <x v="53"/>
    <x v="24"/>
    <m/>
    <m/>
    <m/>
    <m/>
    <m/>
    <m/>
    <m/>
    <m/>
    <m/>
    <m/>
    <m/>
    <m/>
    <m/>
    <m/>
    <m/>
    <m/>
    <m/>
  </r>
  <r>
    <x v="53"/>
    <x v="25"/>
    <m/>
    <m/>
    <m/>
    <m/>
    <m/>
    <m/>
    <m/>
    <m/>
    <m/>
    <m/>
    <m/>
    <m/>
    <m/>
    <m/>
    <m/>
    <m/>
    <m/>
  </r>
  <r>
    <x v="53"/>
    <x v="26"/>
    <m/>
    <m/>
    <m/>
    <m/>
    <m/>
    <m/>
    <m/>
    <m/>
    <m/>
    <m/>
    <m/>
    <m/>
    <m/>
    <m/>
    <m/>
    <m/>
    <m/>
  </r>
  <r>
    <x v="53"/>
    <x v="27"/>
    <m/>
    <m/>
    <m/>
    <m/>
    <m/>
    <m/>
    <m/>
    <m/>
    <m/>
    <m/>
    <m/>
    <m/>
    <m/>
    <m/>
    <m/>
    <m/>
    <m/>
  </r>
  <r>
    <x v="53"/>
    <x v="28"/>
    <m/>
    <m/>
    <m/>
    <m/>
    <m/>
    <m/>
    <m/>
    <m/>
    <m/>
    <m/>
    <m/>
    <m/>
    <m/>
    <m/>
    <m/>
    <m/>
    <m/>
  </r>
  <r>
    <x v="53"/>
    <x v="29"/>
    <m/>
    <m/>
    <m/>
    <m/>
    <m/>
    <m/>
    <m/>
    <m/>
    <m/>
    <m/>
    <m/>
    <m/>
    <m/>
    <m/>
    <m/>
    <m/>
    <m/>
  </r>
  <r>
    <x v="53"/>
    <x v="30"/>
    <m/>
    <m/>
    <m/>
    <m/>
    <m/>
    <m/>
    <m/>
    <m/>
    <m/>
    <m/>
    <m/>
    <m/>
    <m/>
    <m/>
    <m/>
    <m/>
    <m/>
  </r>
  <r>
    <x v="53"/>
    <x v="31"/>
    <m/>
    <m/>
    <m/>
    <m/>
    <m/>
    <m/>
    <m/>
    <m/>
    <m/>
    <m/>
    <m/>
    <m/>
    <m/>
    <m/>
    <m/>
    <m/>
    <m/>
  </r>
  <r>
    <x v="53"/>
    <x v="32"/>
    <m/>
    <m/>
    <m/>
    <m/>
    <m/>
    <m/>
    <m/>
    <m/>
    <m/>
    <m/>
    <m/>
    <m/>
    <m/>
    <m/>
    <m/>
    <m/>
    <m/>
  </r>
  <r>
    <x v="53"/>
    <x v="33"/>
    <m/>
    <m/>
    <m/>
    <m/>
    <m/>
    <m/>
    <m/>
    <m/>
    <m/>
    <m/>
    <m/>
    <m/>
    <m/>
    <m/>
    <m/>
    <m/>
    <m/>
  </r>
  <r>
    <x v="53"/>
    <x v="34"/>
    <m/>
    <m/>
    <m/>
    <m/>
    <m/>
    <m/>
    <m/>
    <m/>
    <m/>
    <m/>
    <m/>
    <m/>
    <m/>
    <m/>
    <m/>
    <m/>
    <m/>
  </r>
  <r>
    <x v="53"/>
    <x v="35"/>
    <m/>
    <m/>
    <m/>
    <m/>
    <m/>
    <m/>
    <m/>
    <m/>
    <m/>
    <m/>
    <m/>
    <m/>
    <m/>
    <m/>
    <m/>
    <m/>
    <m/>
  </r>
  <r>
    <x v="53"/>
    <x v="36"/>
    <m/>
    <m/>
    <m/>
    <m/>
    <m/>
    <m/>
    <m/>
    <m/>
    <m/>
    <m/>
    <m/>
    <m/>
    <m/>
    <m/>
    <m/>
    <m/>
    <m/>
  </r>
  <r>
    <x v="53"/>
    <x v="37"/>
    <m/>
    <m/>
    <m/>
    <m/>
    <m/>
    <m/>
    <m/>
    <m/>
    <m/>
    <m/>
    <m/>
    <m/>
    <m/>
    <m/>
    <m/>
    <m/>
    <m/>
  </r>
  <r>
    <x v="53"/>
    <x v="38"/>
    <m/>
    <m/>
    <m/>
    <m/>
    <m/>
    <m/>
    <m/>
    <m/>
    <m/>
    <m/>
    <m/>
    <m/>
    <m/>
    <m/>
    <m/>
    <m/>
    <m/>
  </r>
  <r>
    <x v="53"/>
    <x v="39"/>
    <m/>
    <m/>
    <m/>
    <m/>
    <m/>
    <m/>
    <m/>
    <m/>
    <m/>
    <m/>
    <m/>
    <m/>
    <m/>
    <m/>
    <m/>
    <m/>
    <m/>
  </r>
  <r>
    <x v="53"/>
    <x v="40"/>
    <m/>
    <m/>
    <m/>
    <m/>
    <m/>
    <m/>
    <m/>
    <m/>
    <m/>
    <m/>
    <m/>
    <m/>
    <m/>
    <m/>
    <m/>
    <m/>
    <m/>
  </r>
  <r>
    <x v="53"/>
    <x v="41"/>
    <m/>
    <m/>
    <m/>
    <m/>
    <m/>
    <m/>
    <m/>
    <m/>
    <m/>
    <m/>
    <m/>
    <m/>
    <m/>
    <m/>
    <m/>
    <m/>
    <m/>
  </r>
  <r>
    <x v="53"/>
    <x v="42"/>
    <m/>
    <m/>
    <m/>
    <m/>
    <m/>
    <m/>
    <m/>
    <m/>
    <m/>
    <m/>
    <m/>
    <m/>
    <m/>
    <m/>
    <m/>
    <m/>
    <m/>
  </r>
  <r>
    <x v="53"/>
    <x v="43"/>
    <m/>
    <m/>
    <m/>
    <m/>
    <m/>
    <m/>
    <m/>
    <m/>
    <m/>
    <m/>
    <m/>
    <m/>
    <m/>
    <m/>
    <m/>
    <m/>
    <m/>
  </r>
  <r>
    <x v="53"/>
    <x v="44"/>
    <m/>
    <m/>
    <m/>
    <m/>
    <m/>
    <m/>
    <m/>
    <m/>
    <m/>
    <m/>
    <m/>
    <m/>
    <m/>
    <m/>
    <m/>
    <m/>
    <m/>
  </r>
  <r>
    <x v="53"/>
    <x v="45"/>
    <m/>
    <m/>
    <m/>
    <m/>
    <m/>
    <m/>
    <m/>
    <m/>
    <m/>
    <m/>
    <m/>
    <m/>
    <m/>
    <m/>
    <m/>
    <m/>
    <m/>
  </r>
  <r>
    <x v="53"/>
    <x v="46"/>
    <m/>
    <m/>
    <m/>
    <m/>
    <m/>
    <m/>
    <m/>
    <m/>
    <m/>
    <m/>
    <m/>
    <m/>
    <m/>
    <m/>
    <m/>
    <m/>
    <m/>
  </r>
  <r>
    <x v="53"/>
    <x v="47"/>
    <m/>
    <m/>
    <m/>
    <m/>
    <m/>
    <m/>
    <m/>
    <m/>
    <m/>
    <m/>
    <m/>
    <m/>
    <m/>
    <m/>
    <m/>
    <m/>
    <m/>
  </r>
  <r>
    <x v="53"/>
    <x v="48"/>
    <m/>
    <m/>
    <m/>
    <m/>
    <m/>
    <m/>
    <m/>
    <m/>
    <m/>
    <m/>
    <m/>
    <m/>
    <m/>
    <m/>
    <m/>
    <m/>
    <m/>
  </r>
  <r>
    <x v="53"/>
    <x v="49"/>
    <m/>
    <m/>
    <m/>
    <m/>
    <m/>
    <m/>
    <m/>
    <m/>
    <m/>
    <m/>
    <m/>
    <m/>
    <m/>
    <m/>
    <m/>
    <m/>
    <m/>
  </r>
  <r>
    <x v="53"/>
    <x v="50"/>
    <m/>
    <m/>
    <m/>
    <m/>
    <m/>
    <m/>
    <m/>
    <m/>
    <m/>
    <m/>
    <m/>
    <m/>
    <m/>
    <m/>
    <m/>
    <m/>
    <m/>
  </r>
  <r>
    <x v="53"/>
    <x v="51"/>
    <m/>
    <m/>
    <m/>
    <m/>
    <m/>
    <m/>
    <m/>
    <m/>
    <m/>
    <m/>
    <m/>
    <m/>
    <m/>
    <m/>
    <m/>
    <m/>
    <m/>
  </r>
  <r>
    <x v="54"/>
    <x v="0"/>
    <m/>
    <m/>
    <m/>
    <m/>
    <m/>
    <m/>
    <n v="2"/>
    <m/>
    <m/>
    <m/>
    <m/>
    <m/>
    <m/>
    <m/>
    <m/>
    <n v="2"/>
    <m/>
  </r>
  <r>
    <x v="54"/>
    <x v="1"/>
    <m/>
    <m/>
    <m/>
    <m/>
    <m/>
    <m/>
    <n v="1"/>
    <m/>
    <m/>
    <m/>
    <m/>
    <m/>
    <m/>
    <m/>
    <m/>
    <n v="1"/>
    <m/>
  </r>
  <r>
    <x v="54"/>
    <x v="2"/>
    <m/>
    <m/>
    <m/>
    <m/>
    <m/>
    <m/>
    <n v="1"/>
    <m/>
    <m/>
    <m/>
    <n v="1"/>
    <m/>
    <m/>
    <m/>
    <m/>
    <n v="3"/>
    <m/>
  </r>
  <r>
    <x v="54"/>
    <x v="3"/>
    <m/>
    <m/>
    <m/>
    <m/>
    <m/>
    <m/>
    <m/>
    <m/>
    <m/>
    <m/>
    <m/>
    <m/>
    <m/>
    <m/>
    <m/>
    <n v="1"/>
    <m/>
  </r>
  <r>
    <x v="54"/>
    <x v="4"/>
    <m/>
    <m/>
    <m/>
    <m/>
    <m/>
    <m/>
    <n v="1"/>
    <m/>
    <m/>
    <m/>
    <m/>
    <m/>
    <n v="1"/>
    <m/>
    <n v="1"/>
    <n v="3"/>
    <m/>
  </r>
  <r>
    <x v="54"/>
    <x v="5"/>
    <m/>
    <m/>
    <m/>
    <m/>
    <m/>
    <m/>
    <m/>
    <m/>
    <m/>
    <m/>
    <m/>
    <m/>
    <m/>
    <m/>
    <m/>
    <m/>
    <m/>
  </r>
  <r>
    <x v="54"/>
    <x v="6"/>
    <m/>
    <m/>
    <m/>
    <m/>
    <m/>
    <m/>
    <m/>
    <m/>
    <m/>
    <m/>
    <m/>
    <m/>
    <m/>
    <m/>
    <m/>
    <m/>
    <m/>
  </r>
  <r>
    <x v="54"/>
    <x v="7"/>
    <m/>
    <m/>
    <m/>
    <m/>
    <m/>
    <m/>
    <n v="1"/>
    <m/>
    <m/>
    <m/>
    <m/>
    <m/>
    <m/>
    <m/>
    <m/>
    <n v="1"/>
    <m/>
  </r>
  <r>
    <x v="54"/>
    <x v="8"/>
    <m/>
    <m/>
    <m/>
    <m/>
    <m/>
    <m/>
    <n v="2"/>
    <m/>
    <m/>
    <m/>
    <m/>
    <m/>
    <m/>
    <m/>
    <m/>
    <n v="1"/>
    <m/>
  </r>
  <r>
    <x v="54"/>
    <x v="9"/>
    <m/>
    <m/>
    <m/>
    <m/>
    <m/>
    <m/>
    <n v="1"/>
    <m/>
    <m/>
    <m/>
    <m/>
    <m/>
    <m/>
    <m/>
    <m/>
    <n v="2"/>
    <m/>
  </r>
  <r>
    <x v="54"/>
    <x v="10"/>
    <m/>
    <m/>
    <m/>
    <m/>
    <m/>
    <m/>
    <n v="1"/>
    <m/>
    <m/>
    <m/>
    <m/>
    <m/>
    <m/>
    <m/>
    <m/>
    <n v="1"/>
    <m/>
  </r>
  <r>
    <x v="54"/>
    <x v="11"/>
    <m/>
    <m/>
    <m/>
    <m/>
    <m/>
    <m/>
    <m/>
    <m/>
    <m/>
    <m/>
    <m/>
    <m/>
    <m/>
    <m/>
    <m/>
    <m/>
    <m/>
  </r>
  <r>
    <x v="54"/>
    <x v="12"/>
    <m/>
    <m/>
    <m/>
    <m/>
    <m/>
    <m/>
    <m/>
    <m/>
    <m/>
    <m/>
    <m/>
    <m/>
    <m/>
    <m/>
    <m/>
    <n v="1"/>
    <m/>
  </r>
  <r>
    <x v="54"/>
    <x v="13"/>
    <m/>
    <m/>
    <m/>
    <m/>
    <m/>
    <m/>
    <n v="2"/>
    <m/>
    <m/>
    <m/>
    <m/>
    <m/>
    <m/>
    <n v="1"/>
    <m/>
    <n v="1"/>
    <m/>
  </r>
  <r>
    <x v="54"/>
    <x v="14"/>
    <m/>
    <m/>
    <m/>
    <m/>
    <m/>
    <m/>
    <n v="2"/>
    <m/>
    <m/>
    <m/>
    <m/>
    <m/>
    <m/>
    <m/>
    <m/>
    <n v="3"/>
    <m/>
  </r>
  <r>
    <x v="54"/>
    <x v="15"/>
    <m/>
    <m/>
    <m/>
    <m/>
    <m/>
    <m/>
    <n v="1"/>
    <m/>
    <m/>
    <m/>
    <m/>
    <m/>
    <m/>
    <m/>
    <m/>
    <n v="3"/>
    <m/>
  </r>
  <r>
    <x v="54"/>
    <x v="16"/>
    <m/>
    <m/>
    <m/>
    <m/>
    <m/>
    <m/>
    <m/>
    <m/>
    <m/>
    <m/>
    <m/>
    <m/>
    <m/>
    <m/>
    <m/>
    <n v="1"/>
    <m/>
  </r>
  <r>
    <x v="54"/>
    <x v="17"/>
    <m/>
    <m/>
    <m/>
    <m/>
    <m/>
    <m/>
    <m/>
    <m/>
    <m/>
    <m/>
    <m/>
    <m/>
    <m/>
    <m/>
    <m/>
    <n v="1"/>
    <m/>
  </r>
  <r>
    <x v="54"/>
    <x v="18"/>
    <m/>
    <m/>
    <m/>
    <m/>
    <m/>
    <m/>
    <n v="1"/>
    <m/>
    <m/>
    <m/>
    <m/>
    <m/>
    <m/>
    <m/>
    <m/>
    <n v="1"/>
    <m/>
  </r>
  <r>
    <x v="54"/>
    <x v="19"/>
    <m/>
    <m/>
    <m/>
    <m/>
    <m/>
    <m/>
    <m/>
    <m/>
    <m/>
    <m/>
    <m/>
    <m/>
    <m/>
    <m/>
    <m/>
    <m/>
    <m/>
  </r>
  <r>
    <x v="54"/>
    <x v="20"/>
    <m/>
    <m/>
    <m/>
    <m/>
    <m/>
    <m/>
    <n v="4"/>
    <m/>
    <m/>
    <m/>
    <m/>
    <m/>
    <m/>
    <m/>
    <n v="2"/>
    <n v="3"/>
    <m/>
  </r>
  <r>
    <x v="54"/>
    <x v="21"/>
    <m/>
    <m/>
    <m/>
    <m/>
    <m/>
    <m/>
    <m/>
    <m/>
    <m/>
    <m/>
    <m/>
    <m/>
    <m/>
    <m/>
    <m/>
    <n v="3"/>
    <m/>
  </r>
  <r>
    <x v="54"/>
    <x v="22"/>
    <m/>
    <m/>
    <m/>
    <m/>
    <m/>
    <m/>
    <m/>
    <m/>
    <m/>
    <m/>
    <m/>
    <m/>
    <m/>
    <m/>
    <m/>
    <m/>
    <m/>
  </r>
  <r>
    <x v="54"/>
    <x v="23"/>
    <m/>
    <m/>
    <m/>
    <m/>
    <m/>
    <m/>
    <m/>
    <m/>
    <m/>
    <m/>
    <m/>
    <m/>
    <m/>
    <m/>
    <m/>
    <n v="1"/>
    <m/>
  </r>
  <r>
    <x v="54"/>
    <x v="24"/>
    <m/>
    <m/>
    <m/>
    <m/>
    <m/>
    <m/>
    <m/>
    <m/>
    <m/>
    <m/>
    <m/>
    <m/>
    <m/>
    <m/>
    <m/>
    <m/>
    <m/>
  </r>
  <r>
    <x v="54"/>
    <x v="25"/>
    <m/>
    <m/>
    <m/>
    <m/>
    <m/>
    <m/>
    <m/>
    <m/>
    <m/>
    <m/>
    <m/>
    <m/>
    <m/>
    <m/>
    <m/>
    <n v="1"/>
    <m/>
  </r>
  <r>
    <x v="54"/>
    <x v="26"/>
    <m/>
    <m/>
    <m/>
    <m/>
    <m/>
    <m/>
    <n v="2"/>
    <m/>
    <m/>
    <m/>
    <m/>
    <m/>
    <m/>
    <m/>
    <m/>
    <n v="2"/>
    <m/>
  </r>
  <r>
    <x v="54"/>
    <x v="27"/>
    <m/>
    <m/>
    <m/>
    <m/>
    <m/>
    <m/>
    <m/>
    <m/>
    <m/>
    <m/>
    <m/>
    <m/>
    <m/>
    <m/>
    <m/>
    <m/>
    <m/>
  </r>
  <r>
    <x v="54"/>
    <x v="28"/>
    <m/>
    <m/>
    <m/>
    <m/>
    <m/>
    <m/>
    <n v="1"/>
    <m/>
    <m/>
    <m/>
    <m/>
    <m/>
    <m/>
    <m/>
    <m/>
    <n v="3"/>
    <m/>
  </r>
  <r>
    <x v="54"/>
    <x v="29"/>
    <m/>
    <m/>
    <m/>
    <m/>
    <m/>
    <m/>
    <n v="2"/>
    <m/>
    <m/>
    <m/>
    <m/>
    <m/>
    <m/>
    <m/>
    <m/>
    <n v="2"/>
    <m/>
  </r>
  <r>
    <x v="54"/>
    <x v="30"/>
    <m/>
    <m/>
    <m/>
    <m/>
    <m/>
    <m/>
    <n v="2"/>
    <m/>
    <m/>
    <m/>
    <m/>
    <m/>
    <m/>
    <m/>
    <m/>
    <n v="2"/>
    <m/>
  </r>
  <r>
    <x v="54"/>
    <x v="31"/>
    <m/>
    <m/>
    <m/>
    <m/>
    <m/>
    <m/>
    <n v="7"/>
    <m/>
    <n v="2"/>
    <m/>
    <n v="2"/>
    <n v="2"/>
    <n v="1"/>
    <n v="1"/>
    <n v="7"/>
    <n v="8"/>
    <m/>
  </r>
  <r>
    <x v="54"/>
    <x v="32"/>
    <m/>
    <m/>
    <m/>
    <m/>
    <m/>
    <m/>
    <m/>
    <m/>
    <m/>
    <m/>
    <m/>
    <m/>
    <m/>
    <m/>
    <m/>
    <m/>
    <m/>
  </r>
  <r>
    <x v="54"/>
    <x v="33"/>
    <m/>
    <m/>
    <m/>
    <m/>
    <m/>
    <m/>
    <m/>
    <m/>
    <m/>
    <m/>
    <m/>
    <m/>
    <m/>
    <m/>
    <m/>
    <m/>
    <m/>
  </r>
  <r>
    <x v="54"/>
    <x v="34"/>
    <m/>
    <m/>
    <m/>
    <m/>
    <m/>
    <m/>
    <n v="1"/>
    <m/>
    <m/>
    <m/>
    <m/>
    <m/>
    <m/>
    <m/>
    <m/>
    <n v="2"/>
    <m/>
  </r>
  <r>
    <x v="54"/>
    <x v="35"/>
    <m/>
    <m/>
    <m/>
    <m/>
    <m/>
    <m/>
    <n v="2"/>
    <m/>
    <m/>
    <m/>
    <m/>
    <m/>
    <m/>
    <n v="1"/>
    <m/>
    <n v="3"/>
    <m/>
  </r>
  <r>
    <x v="54"/>
    <x v="36"/>
    <m/>
    <m/>
    <m/>
    <m/>
    <m/>
    <m/>
    <n v="1"/>
    <m/>
    <m/>
    <m/>
    <m/>
    <m/>
    <m/>
    <m/>
    <m/>
    <n v="3"/>
    <m/>
  </r>
  <r>
    <x v="54"/>
    <x v="37"/>
    <m/>
    <m/>
    <m/>
    <m/>
    <m/>
    <m/>
    <m/>
    <m/>
    <m/>
    <m/>
    <m/>
    <m/>
    <m/>
    <m/>
    <m/>
    <m/>
    <m/>
  </r>
  <r>
    <x v="54"/>
    <x v="38"/>
    <m/>
    <m/>
    <m/>
    <m/>
    <m/>
    <m/>
    <m/>
    <m/>
    <m/>
    <m/>
    <m/>
    <m/>
    <m/>
    <m/>
    <m/>
    <n v="1"/>
    <m/>
  </r>
  <r>
    <x v="54"/>
    <x v="39"/>
    <m/>
    <m/>
    <m/>
    <m/>
    <m/>
    <m/>
    <n v="1"/>
    <m/>
    <m/>
    <m/>
    <m/>
    <m/>
    <m/>
    <m/>
    <m/>
    <n v="1"/>
    <m/>
  </r>
  <r>
    <x v="54"/>
    <x v="40"/>
    <m/>
    <m/>
    <m/>
    <m/>
    <m/>
    <m/>
    <n v="1"/>
    <m/>
    <m/>
    <m/>
    <m/>
    <m/>
    <m/>
    <n v="1"/>
    <m/>
    <n v="2"/>
    <m/>
  </r>
  <r>
    <x v="54"/>
    <x v="41"/>
    <m/>
    <m/>
    <m/>
    <m/>
    <m/>
    <m/>
    <m/>
    <m/>
    <m/>
    <m/>
    <m/>
    <m/>
    <m/>
    <m/>
    <m/>
    <m/>
    <m/>
  </r>
  <r>
    <x v="54"/>
    <x v="42"/>
    <m/>
    <m/>
    <m/>
    <m/>
    <m/>
    <m/>
    <n v="4"/>
    <m/>
    <m/>
    <m/>
    <m/>
    <m/>
    <n v="1"/>
    <m/>
    <m/>
    <n v="5"/>
    <m/>
  </r>
  <r>
    <x v="54"/>
    <x v="43"/>
    <m/>
    <m/>
    <m/>
    <m/>
    <m/>
    <m/>
    <m/>
    <m/>
    <m/>
    <m/>
    <m/>
    <m/>
    <m/>
    <m/>
    <m/>
    <n v="1"/>
    <m/>
  </r>
  <r>
    <x v="54"/>
    <x v="44"/>
    <m/>
    <m/>
    <m/>
    <m/>
    <m/>
    <m/>
    <m/>
    <m/>
    <m/>
    <m/>
    <m/>
    <m/>
    <m/>
    <n v="1"/>
    <m/>
    <m/>
    <m/>
  </r>
  <r>
    <x v="54"/>
    <x v="45"/>
    <m/>
    <m/>
    <m/>
    <m/>
    <m/>
    <m/>
    <m/>
    <m/>
    <m/>
    <m/>
    <m/>
    <m/>
    <m/>
    <m/>
    <n v="2"/>
    <n v="1"/>
    <m/>
  </r>
  <r>
    <x v="54"/>
    <x v="46"/>
    <m/>
    <m/>
    <m/>
    <m/>
    <m/>
    <m/>
    <m/>
    <m/>
    <m/>
    <m/>
    <m/>
    <m/>
    <m/>
    <m/>
    <m/>
    <m/>
    <m/>
  </r>
  <r>
    <x v="54"/>
    <x v="47"/>
    <m/>
    <m/>
    <m/>
    <m/>
    <m/>
    <m/>
    <n v="2"/>
    <m/>
    <m/>
    <m/>
    <m/>
    <m/>
    <m/>
    <m/>
    <m/>
    <n v="1"/>
    <m/>
  </r>
  <r>
    <x v="54"/>
    <x v="48"/>
    <m/>
    <m/>
    <m/>
    <m/>
    <m/>
    <m/>
    <n v="2"/>
    <m/>
    <m/>
    <m/>
    <m/>
    <m/>
    <m/>
    <n v="1"/>
    <m/>
    <n v="4"/>
    <m/>
  </r>
  <r>
    <x v="54"/>
    <x v="49"/>
    <m/>
    <m/>
    <m/>
    <m/>
    <m/>
    <m/>
    <n v="1"/>
    <m/>
    <m/>
    <m/>
    <m/>
    <m/>
    <m/>
    <m/>
    <m/>
    <n v="3"/>
    <m/>
  </r>
  <r>
    <x v="54"/>
    <x v="50"/>
    <m/>
    <m/>
    <m/>
    <m/>
    <m/>
    <m/>
    <n v="1"/>
    <m/>
    <m/>
    <m/>
    <m/>
    <m/>
    <m/>
    <m/>
    <n v="1"/>
    <n v="2"/>
    <m/>
  </r>
  <r>
    <x v="54"/>
    <x v="51"/>
    <n v="2"/>
    <m/>
    <m/>
    <m/>
    <m/>
    <m/>
    <n v="2"/>
    <m/>
    <m/>
    <m/>
    <m/>
    <m/>
    <m/>
    <m/>
    <n v="2"/>
    <n v="3"/>
    <m/>
  </r>
  <r>
    <x v="55"/>
    <x v="0"/>
    <m/>
    <m/>
    <m/>
    <m/>
    <m/>
    <m/>
    <m/>
    <m/>
    <m/>
    <m/>
    <m/>
    <m/>
    <m/>
    <m/>
    <m/>
    <m/>
    <m/>
  </r>
  <r>
    <x v="55"/>
    <x v="1"/>
    <m/>
    <m/>
    <m/>
    <m/>
    <m/>
    <m/>
    <m/>
    <m/>
    <m/>
    <m/>
    <m/>
    <m/>
    <m/>
    <m/>
    <m/>
    <m/>
    <m/>
  </r>
  <r>
    <x v="55"/>
    <x v="2"/>
    <m/>
    <m/>
    <m/>
    <m/>
    <m/>
    <m/>
    <m/>
    <m/>
    <m/>
    <m/>
    <m/>
    <m/>
    <m/>
    <m/>
    <m/>
    <m/>
    <m/>
  </r>
  <r>
    <x v="55"/>
    <x v="3"/>
    <m/>
    <m/>
    <m/>
    <m/>
    <m/>
    <m/>
    <m/>
    <m/>
    <m/>
    <m/>
    <m/>
    <m/>
    <m/>
    <m/>
    <m/>
    <m/>
    <m/>
  </r>
  <r>
    <x v="55"/>
    <x v="4"/>
    <m/>
    <m/>
    <m/>
    <m/>
    <m/>
    <m/>
    <m/>
    <m/>
    <m/>
    <m/>
    <m/>
    <m/>
    <m/>
    <m/>
    <m/>
    <m/>
    <m/>
  </r>
  <r>
    <x v="55"/>
    <x v="5"/>
    <m/>
    <m/>
    <m/>
    <m/>
    <m/>
    <m/>
    <m/>
    <m/>
    <m/>
    <m/>
    <m/>
    <m/>
    <m/>
    <m/>
    <m/>
    <m/>
    <m/>
  </r>
  <r>
    <x v="55"/>
    <x v="6"/>
    <m/>
    <m/>
    <m/>
    <m/>
    <m/>
    <m/>
    <m/>
    <m/>
    <m/>
    <m/>
    <m/>
    <m/>
    <m/>
    <m/>
    <m/>
    <m/>
    <m/>
  </r>
  <r>
    <x v="55"/>
    <x v="7"/>
    <m/>
    <m/>
    <m/>
    <m/>
    <m/>
    <m/>
    <m/>
    <m/>
    <m/>
    <m/>
    <m/>
    <m/>
    <m/>
    <m/>
    <m/>
    <m/>
    <m/>
  </r>
  <r>
    <x v="55"/>
    <x v="8"/>
    <m/>
    <m/>
    <m/>
    <m/>
    <m/>
    <m/>
    <m/>
    <m/>
    <m/>
    <m/>
    <m/>
    <m/>
    <m/>
    <m/>
    <m/>
    <m/>
    <m/>
  </r>
  <r>
    <x v="55"/>
    <x v="9"/>
    <m/>
    <m/>
    <m/>
    <m/>
    <m/>
    <m/>
    <m/>
    <m/>
    <m/>
    <m/>
    <m/>
    <m/>
    <m/>
    <m/>
    <m/>
    <m/>
    <m/>
  </r>
  <r>
    <x v="55"/>
    <x v="10"/>
    <m/>
    <m/>
    <m/>
    <m/>
    <m/>
    <m/>
    <m/>
    <m/>
    <m/>
    <m/>
    <m/>
    <m/>
    <m/>
    <m/>
    <m/>
    <m/>
    <m/>
  </r>
  <r>
    <x v="55"/>
    <x v="11"/>
    <m/>
    <m/>
    <m/>
    <m/>
    <m/>
    <m/>
    <m/>
    <m/>
    <m/>
    <m/>
    <m/>
    <m/>
    <m/>
    <m/>
    <m/>
    <m/>
    <m/>
  </r>
  <r>
    <x v="55"/>
    <x v="12"/>
    <m/>
    <m/>
    <m/>
    <m/>
    <m/>
    <m/>
    <m/>
    <m/>
    <m/>
    <m/>
    <m/>
    <m/>
    <m/>
    <m/>
    <m/>
    <m/>
    <m/>
  </r>
  <r>
    <x v="55"/>
    <x v="13"/>
    <m/>
    <m/>
    <m/>
    <m/>
    <m/>
    <m/>
    <m/>
    <m/>
    <m/>
    <m/>
    <m/>
    <m/>
    <m/>
    <m/>
    <m/>
    <m/>
    <m/>
  </r>
  <r>
    <x v="55"/>
    <x v="14"/>
    <m/>
    <m/>
    <m/>
    <m/>
    <m/>
    <m/>
    <m/>
    <m/>
    <m/>
    <m/>
    <m/>
    <m/>
    <m/>
    <m/>
    <m/>
    <m/>
    <m/>
  </r>
  <r>
    <x v="55"/>
    <x v="15"/>
    <m/>
    <m/>
    <m/>
    <m/>
    <m/>
    <m/>
    <m/>
    <m/>
    <m/>
    <m/>
    <m/>
    <m/>
    <m/>
    <m/>
    <m/>
    <m/>
    <m/>
  </r>
  <r>
    <x v="55"/>
    <x v="16"/>
    <m/>
    <m/>
    <m/>
    <m/>
    <m/>
    <m/>
    <m/>
    <m/>
    <m/>
    <m/>
    <m/>
    <m/>
    <m/>
    <m/>
    <m/>
    <m/>
    <m/>
  </r>
  <r>
    <x v="55"/>
    <x v="17"/>
    <m/>
    <m/>
    <m/>
    <m/>
    <m/>
    <m/>
    <m/>
    <m/>
    <m/>
    <m/>
    <m/>
    <m/>
    <m/>
    <m/>
    <m/>
    <m/>
    <m/>
  </r>
  <r>
    <x v="55"/>
    <x v="18"/>
    <m/>
    <m/>
    <m/>
    <m/>
    <m/>
    <m/>
    <m/>
    <m/>
    <m/>
    <m/>
    <m/>
    <m/>
    <m/>
    <m/>
    <m/>
    <m/>
    <m/>
  </r>
  <r>
    <x v="55"/>
    <x v="19"/>
    <m/>
    <m/>
    <m/>
    <m/>
    <m/>
    <m/>
    <m/>
    <m/>
    <m/>
    <m/>
    <m/>
    <m/>
    <m/>
    <m/>
    <m/>
    <m/>
    <m/>
  </r>
  <r>
    <x v="55"/>
    <x v="20"/>
    <m/>
    <m/>
    <m/>
    <m/>
    <m/>
    <m/>
    <m/>
    <m/>
    <m/>
    <m/>
    <m/>
    <m/>
    <m/>
    <m/>
    <m/>
    <m/>
    <m/>
  </r>
  <r>
    <x v="55"/>
    <x v="21"/>
    <m/>
    <m/>
    <m/>
    <m/>
    <m/>
    <m/>
    <m/>
    <m/>
    <m/>
    <m/>
    <m/>
    <m/>
    <m/>
    <m/>
    <m/>
    <m/>
    <m/>
  </r>
  <r>
    <x v="55"/>
    <x v="22"/>
    <m/>
    <m/>
    <m/>
    <m/>
    <m/>
    <m/>
    <m/>
    <m/>
    <m/>
    <m/>
    <m/>
    <m/>
    <m/>
    <m/>
    <m/>
    <m/>
    <m/>
  </r>
  <r>
    <x v="55"/>
    <x v="23"/>
    <m/>
    <m/>
    <m/>
    <m/>
    <m/>
    <m/>
    <m/>
    <m/>
    <m/>
    <m/>
    <m/>
    <m/>
    <m/>
    <m/>
    <m/>
    <m/>
    <m/>
  </r>
  <r>
    <x v="55"/>
    <x v="24"/>
    <m/>
    <m/>
    <m/>
    <m/>
    <m/>
    <m/>
    <m/>
    <m/>
    <m/>
    <m/>
    <m/>
    <m/>
    <m/>
    <m/>
    <m/>
    <m/>
    <m/>
  </r>
  <r>
    <x v="55"/>
    <x v="25"/>
    <m/>
    <m/>
    <m/>
    <m/>
    <m/>
    <m/>
    <m/>
    <m/>
    <m/>
    <m/>
    <m/>
    <m/>
    <m/>
    <m/>
    <m/>
    <m/>
    <m/>
  </r>
  <r>
    <x v="55"/>
    <x v="26"/>
    <m/>
    <m/>
    <m/>
    <m/>
    <m/>
    <m/>
    <m/>
    <m/>
    <m/>
    <m/>
    <m/>
    <m/>
    <m/>
    <m/>
    <m/>
    <m/>
    <m/>
  </r>
  <r>
    <x v="55"/>
    <x v="27"/>
    <m/>
    <m/>
    <m/>
    <m/>
    <m/>
    <m/>
    <m/>
    <m/>
    <m/>
    <m/>
    <m/>
    <m/>
    <m/>
    <m/>
    <m/>
    <m/>
    <m/>
  </r>
  <r>
    <x v="55"/>
    <x v="28"/>
    <m/>
    <m/>
    <m/>
    <m/>
    <m/>
    <m/>
    <m/>
    <m/>
    <m/>
    <m/>
    <m/>
    <m/>
    <m/>
    <m/>
    <m/>
    <m/>
    <m/>
  </r>
  <r>
    <x v="55"/>
    <x v="29"/>
    <m/>
    <m/>
    <m/>
    <m/>
    <m/>
    <m/>
    <m/>
    <m/>
    <m/>
    <m/>
    <m/>
    <m/>
    <m/>
    <m/>
    <m/>
    <m/>
    <m/>
  </r>
  <r>
    <x v="55"/>
    <x v="30"/>
    <m/>
    <m/>
    <m/>
    <m/>
    <m/>
    <m/>
    <m/>
    <m/>
    <m/>
    <m/>
    <m/>
    <m/>
    <m/>
    <m/>
    <m/>
    <m/>
    <m/>
  </r>
  <r>
    <x v="55"/>
    <x v="31"/>
    <m/>
    <m/>
    <m/>
    <m/>
    <m/>
    <m/>
    <m/>
    <m/>
    <m/>
    <m/>
    <m/>
    <m/>
    <m/>
    <m/>
    <m/>
    <m/>
    <m/>
  </r>
  <r>
    <x v="55"/>
    <x v="32"/>
    <m/>
    <m/>
    <m/>
    <m/>
    <m/>
    <m/>
    <m/>
    <m/>
    <m/>
    <m/>
    <m/>
    <m/>
    <m/>
    <m/>
    <m/>
    <m/>
    <m/>
  </r>
  <r>
    <x v="55"/>
    <x v="33"/>
    <m/>
    <m/>
    <m/>
    <m/>
    <m/>
    <m/>
    <m/>
    <m/>
    <m/>
    <m/>
    <m/>
    <m/>
    <m/>
    <m/>
    <m/>
    <m/>
    <m/>
  </r>
  <r>
    <x v="55"/>
    <x v="34"/>
    <m/>
    <m/>
    <m/>
    <m/>
    <m/>
    <m/>
    <m/>
    <m/>
    <m/>
    <m/>
    <m/>
    <m/>
    <m/>
    <m/>
    <m/>
    <m/>
    <m/>
  </r>
  <r>
    <x v="55"/>
    <x v="35"/>
    <m/>
    <m/>
    <m/>
    <m/>
    <m/>
    <m/>
    <m/>
    <m/>
    <m/>
    <m/>
    <m/>
    <m/>
    <m/>
    <m/>
    <m/>
    <m/>
    <m/>
  </r>
  <r>
    <x v="55"/>
    <x v="36"/>
    <m/>
    <m/>
    <m/>
    <m/>
    <m/>
    <m/>
    <m/>
    <m/>
    <m/>
    <m/>
    <m/>
    <m/>
    <m/>
    <m/>
    <m/>
    <m/>
    <m/>
  </r>
  <r>
    <x v="55"/>
    <x v="37"/>
    <m/>
    <m/>
    <m/>
    <m/>
    <m/>
    <m/>
    <m/>
    <m/>
    <m/>
    <m/>
    <m/>
    <m/>
    <m/>
    <m/>
    <m/>
    <m/>
    <m/>
  </r>
  <r>
    <x v="55"/>
    <x v="38"/>
    <m/>
    <m/>
    <m/>
    <m/>
    <m/>
    <m/>
    <m/>
    <m/>
    <m/>
    <m/>
    <m/>
    <m/>
    <m/>
    <m/>
    <m/>
    <m/>
    <m/>
  </r>
  <r>
    <x v="55"/>
    <x v="39"/>
    <m/>
    <m/>
    <m/>
    <m/>
    <m/>
    <m/>
    <m/>
    <m/>
    <m/>
    <m/>
    <m/>
    <m/>
    <m/>
    <m/>
    <m/>
    <m/>
    <m/>
  </r>
  <r>
    <x v="55"/>
    <x v="40"/>
    <m/>
    <m/>
    <m/>
    <m/>
    <m/>
    <m/>
    <m/>
    <m/>
    <m/>
    <m/>
    <m/>
    <m/>
    <m/>
    <m/>
    <m/>
    <m/>
    <m/>
  </r>
  <r>
    <x v="55"/>
    <x v="41"/>
    <m/>
    <m/>
    <m/>
    <m/>
    <m/>
    <m/>
    <m/>
    <m/>
    <m/>
    <m/>
    <m/>
    <m/>
    <m/>
    <m/>
    <m/>
    <m/>
    <m/>
  </r>
  <r>
    <x v="55"/>
    <x v="42"/>
    <m/>
    <m/>
    <m/>
    <m/>
    <m/>
    <m/>
    <m/>
    <m/>
    <m/>
    <m/>
    <m/>
    <m/>
    <m/>
    <m/>
    <m/>
    <m/>
    <m/>
  </r>
  <r>
    <x v="55"/>
    <x v="43"/>
    <m/>
    <m/>
    <m/>
    <m/>
    <m/>
    <m/>
    <m/>
    <m/>
    <m/>
    <m/>
    <m/>
    <m/>
    <m/>
    <m/>
    <m/>
    <m/>
    <m/>
  </r>
  <r>
    <x v="55"/>
    <x v="44"/>
    <m/>
    <m/>
    <m/>
    <m/>
    <m/>
    <m/>
    <m/>
    <m/>
    <m/>
    <m/>
    <m/>
    <m/>
    <m/>
    <m/>
    <m/>
    <m/>
    <m/>
  </r>
  <r>
    <x v="55"/>
    <x v="45"/>
    <m/>
    <m/>
    <m/>
    <m/>
    <m/>
    <m/>
    <m/>
    <m/>
    <m/>
    <m/>
    <m/>
    <m/>
    <m/>
    <m/>
    <m/>
    <m/>
    <m/>
  </r>
  <r>
    <x v="55"/>
    <x v="46"/>
    <m/>
    <m/>
    <m/>
    <m/>
    <m/>
    <m/>
    <m/>
    <m/>
    <m/>
    <m/>
    <m/>
    <m/>
    <m/>
    <m/>
    <m/>
    <m/>
    <m/>
  </r>
  <r>
    <x v="55"/>
    <x v="47"/>
    <m/>
    <m/>
    <m/>
    <m/>
    <m/>
    <m/>
    <m/>
    <m/>
    <m/>
    <m/>
    <m/>
    <n v="3"/>
    <n v="2"/>
    <n v="3"/>
    <n v="2"/>
    <n v="13"/>
    <m/>
  </r>
  <r>
    <x v="55"/>
    <x v="48"/>
    <m/>
    <m/>
    <m/>
    <m/>
    <m/>
    <m/>
    <m/>
    <m/>
    <m/>
    <m/>
    <m/>
    <m/>
    <m/>
    <m/>
    <m/>
    <m/>
    <m/>
  </r>
  <r>
    <x v="55"/>
    <x v="49"/>
    <m/>
    <m/>
    <m/>
    <m/>
    <m/>
    <m/>
    <m/>
    <m/>
    <m/>
    <m/>
    <m/>
    <m/>
    <m/>
    <m/>
    <m/>
    <m/>
    <m/>
  </r>
  <r>
    <x v="55"/>
    <x v="50"/>
    <m/>
    <m/>
    <m/>
    <m/>
    <m/>
    <m/>
    <m/>
    <m/>
    <m/>
    <m/>
    <m/>
    <m/>
    <m/>
    <m/>
    <m/>
    <m/>
    <m/>
  </r>
  <r>
    <x v="55"/>
    <x v="51"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2">
  <r>
    <m/>
    <x v="0"/>
    <s v="A-4J-0022"/>
    <s v="09ER"/>
    <x v="0"/>
    <d v="2025-12-15T00:00:00"/>
    <d v="2025-12-19T00:00:00"/>
    <m/>
    <n v="1200"/>
    <m/>
    <m/>
    <m/>
    <m/>
    <m/>
    <s v="A. Hardy"/>
    <m/>
    <m/>
    <n v="45"/>
    <n v="16"/>
    <n v="2"/>
    <n v="0"/>
    <m/>
    <m/>
    <m/>
    <m/>
    <m/>
    <m/>
    <m/>
    <m/>
    <n v="234"/>
    <n v="1"/>
    <n v="1"/>
    <n v="1"/>
    <n v="0"/>
    <n v="16"/>
    <m/>
    <m/>
  </r>
  <r>
    <m/>
    <x v="0"/>
    <s v="A-4J-0022"/>
    <s v="09ER"/>
    <x v="0"/>
    <d v="2026-02-23T00:00:00"/>
    <d v="2026-02-27T00:00:00"/>
    <m/>
    <n v="1200"/>
    <m/>
    <m/>
    <m/>
    <m/>
    <m/>
    <s v="A. Hardy"/>
    <m/>
    <m/>
    <n v="45"/>
    <n v="16"/>
    <n v="2"/>
    <n v="0"/>
    <m/>
    <m/>
    <m/>
    <m/>
    <m/>
    <m/>
    <m/>
    <m/>
    <n v="304"/>
    <n v="1"/>
    <n v="1"/>
    <n v="1"/>
    <n v="0"/>
    <n v="16"/>
    <m/>
    <m/>
  </r>
  <r>
    <m/>
    <x v="0"/>
    <s v="A-4J-0022"/>
    <s v="09ER"/>
    <x v="0"/>
    <d v="2026-05-11T00:00:00"/>
    <d v="2026-05-15T00:00:00"/>
    <m/>
    <d v="1899-12-30T12:00:00"/>
    <m/>
    <m/>
    <m/>
    <m/>
    <m/>
    <s v="A. Hardy"/>
    <m/>
    <m/>
    <n v="45"/>
    <n v="16"/>
    <n v="2"/>
    <n v="0"/>
    <m/>
    <m/>
    <m/>
    <m/>
    <m/>
    <m/>
    <m/>
    <m/>
    <n v="381"/>
    <n v="1"/>
    <n v="1"/>
    <n v="1"/>
    <n v="0"/>
    <n v="16"/>
    <m/>
    <m/>
  </r>
  <r>
    <m/>
    <x v="0"/>
    <s v="A-4J-0022"/>
    <s v="09ER"/>
    <x v="0"/>
    <d v="2026-07-13T00:00:00"/>
    <d v="2026-07-17T00:00:00"/>
    <m/>
    <d v="1899-12-30T12:00:00"/>
    <m/>
    <m/>
    <m/>
    <m/>
    <m/>
    <s v="A. Hardy"/>
    <m/>
    <m/>
    <n v="45"/>
    <n v="16"/>
    <n v="2"/>
    <n v="0"/>
    <m/>
    <m/>
    <m/>
    <m/>
    <m/>
    <m/>
    <m/>
    <m/>
    <n v="444"/>
    <n v="1"/>
    <n v="1"/>
    <n v="1"/>
    <n v="0"/>
    <n v="16"/>
    <m/>
    <m/>
  </r>
  <r>
    <m/>
    <x v="0"/>
    <s v="A-4J-0022"/>
    <s v="09ER"/>
    <x v="0"/>
    <d v="2026-09-14T00:00:00"/>
    <d v="2026-09-18T00:00:00"/>
    <m/>
    <d v="1899-12-30T19:00:00"/>
    <m/>
    <m/>
    <m/>
    <m/>
    <m/>
    <s v="A. Hardy"/>
    <m/>
    <m/>
    <n v="45"/>
    <n v="16"/>
    <n v="2"/>
    <m/>
    <m/>
    <m/>
    <m/>
    <m/>
    <m/>
    <m/>
    <m/>
    <m/>
    <n v="507"/>
    <n v="1"/>
    <n v="1"/>
    <n v="1"/>
    <n v="0"/>
    <n v="16"/>
    <m/>
    <m/>
  </r>
  <r>
    <m/>
    <x v="0"/>
    <s v="A-4J-0022"/>
    <s v="09ER"/>
    <x v="0"/>
    <d v="2025-11-17T00:00:00"/>
    <d v="2025-11-21T00:00:00"/>
    <m/>
    <d v="1899-12-30T08:00:00"/>
    <m/>
    <m/>
    <m/>
    <m/>
    <m/>
    <s v="K. Seo"/>
    <m/>
    <m/>
    <n v="45"/>
    <n v="16"/>
    <n v="2"/>
    <n v="0"/>
    <m/>
    <m/>
    <m/>
    <m/>
    <m/>
    <m/>
    <m/>
    <m/>
    <n v="206"/>
    <n v="1"/>
    <n v="1"/>
    <n v="1"/>
    <n v="0"/>
    <n v="16"/>
    <m/>
    <m/>
  </r>
  <r>
    <m/>
    <x v="0"/>
    <s v="A-4J-0022"/>
    <s v="09ER"/>
    <x v="0"/>
    <d v="2026-01-12T00:00:00"/>
    <d v="2026-01-16T00:00:00"/>
    <m/>
    <n v="1200"/>
    <m/>
    <m/>
    <m/>
    <m/>
    <m/>
    <s v="K. Seo"/>
    <m/>
    <m/>
    <n v="45"/>
    <n v="16"/>
    <n v="2"/>
    <n v="0"/>
    <m/>
    <m/>
    <m/>
    <m/>
    <m/>
    <m/>
    <m/>
    <m/>
    <n v="262"/>
    <n v="1"/>
    <n v="1"/>
    <n v="1"/>
    <n v="0"/>
    <n v="16"/>
    <m/>
    <m/>
  </r>
  <r>
    <m/>
    <x v="0"/>
    <s v="A-4J-0022"/>
    <s v="09ER"/>
    <x v="0"/>
    <d v="2026-03-16T00:00:00"/>
    <d v="2026-03-20T00:00:00"/>
    <m/>
    <d v="1899-12-30T19:00:00"/>
    <m/>
    <m/>
    <m/>
    <m/>
    <m/>
    <s v="K. Seo"/>
    <m/>
    <m/>
    <n v="45"/>
    <n v="16"/>
    <n v="2"/>
    <m/>
    <m/>
    <m/>
    <m/>
    <m/>
    <m/>
    <m/>
    <m/>
    <m/>
    <n v="325"/>
    <n v="1"/>
    <n v="1"/>
    <n v="1"/>
    <n v="0"/>
    <n v="16"/>
    <m/>
    <m/>
  </r>
  <r>
    <m/>
    <x v="0"/>
    <s v="A-4J-0022"/>
    <s v="09ER"/>
    <x v="0"/>
    <d v="2026-06-22T00:00:00"/>
    <d v="2026-06-26T00:00:00"/>
    <m/>
    <d v="1899-12-30T08:00:00"/>
    <m/>
    <m/>
    <m/>
    <m/>
    <m/>
    <s v="K. Seo"/>
    <m/>
    <m/>
    <n v="45"/>
    <n v="16"/>
    <n v="2"/>
    <n v="0"/>
    <m/>
    <m/>
    <m/>
    <m/>
    <m/>
    <m/>
    <m/>
    <m/>
    <n v="423"/>
    <n v="1"/>
    <n v="1"/>
    <n v="1"/>
    <n v="0"/>
    <n v="16"/>
    <m/>
    <m/>
  </r>
  <r>
    <m/>
    <x v="0"/>
    <s v="A-4J-0022"/>
    <s v="09ER"/>
    <x v="0"/>
    <d v="2026-08-17T00:00:00"/>
    <d v="2026-08-21T00:00:00"/>
    <m/>
    <d v="1899-12-30T12:00:00"/>
    <m/>
    <m/>
    <m/>
    <m/>
    <m/>
    <s v="K. Seo"/>
    <m/>
    <m/>
    <n v="45"/>
    <n v="16"/>
    <n v="2"/>
    <n v="0"/>
    <m/>
    <m/>
    <m/>
    <m/>
    <m/>
    <m/>
    <m/>
    <m/>
    <n v="479"/>
    <n v="1"/>
    <n v="1"/>
    <n v="1"/>
    <n v="0"/>
    <n v="16"/>
    <m/>
    <m/>
  </r>
  <r>
    <m/>
    <x v="1"/>
    <s v="A-493-0014"/>
    <n v="3878"/>
    <x v="1"/>
    <d v="2025-10-27T00:00:00"/>
    <d v="2025-10-29T00:00:00"/>
    <d v="1899-12-30T08:00:00"/>
    <m/>
    <m/>
    <m/>
    <m/>
    <m/>
    <m/>
    <s v="B. Jung"/>
    <s v="W. Mitchell"/>
    <m/>
    <n v="25"/>
    <n v="24"/>
    <n v="3"/>
    <n v="149"/>
    <m/>
    <m/>
    <m/>
    <m/>
    <m/>
    <m/>
    <m/>
    <m/>
    <n v="183"/>
    <n v="1"/>
    <n v="1"/>
    <n v="1"/>
    <n v="1"/>
    <n v="12"/>
    <m/>
    <m/>
  </r>
  <r>
    <m/>
    <x v="1"/>
    <s v="A-493-0014"/>
    <n v="3878"/>
    <x v="2"/>
    <d v="2026-03-09T00:00:00"/>
    <d v="2026-03-11T00:00:00"/>
    <d v="1899-12-30T08:00:00"/>
    <m/>
    <m/>
    <m/>
    <m/>
    <m/>
    <m/>
    <s v="B. Jung"/>
    <s v="A. Harris"/>
    <m/>
    <n v="25"/>
    <n v="24"/>
    <n v="3"/>
    <n v="35"/>
    <m/>
    <m/>
    <m/>
    <m/>
    <m/>
    <m/>
    <m/>
    <m/>
    <n v="316"/>
    <n v="1"/>
    <n v="1"/>
    <n v="1"/>
    <n v="1"/>
    <n v="12"/>
    <m/>
    <m/>
  </r>
  <r>
    <m/>
    <x v="2"/>
    <s v="A-493-0015"/>
    <n v="3879"/>
    <x v="0"/>
    <d v="2026-02-11T00:00:00"/>
    <d v="2026-02-11T00:00:00"/>
    <m/>
    <d v="1899-12-30T19:00:00"/>
    <m/>
    <m/>
    <m/>
    <m/>
    <m/>
    <s v="B. Jung"/>
    <m/>
    <m/>
    <n v="30"/>
    <n v="4"/>
    <n v="0.5"/>
    <n v="0"/>
    <m/>
    <m/>
    <m/>
    <m/>
    <m/>
    <m/>
    <m/>
    <m/>
    <n v="288"/>
    <n v="1"/>
    <n v="1"/>
    <n v="1"/>
    <n v="0"/>
    <n v="4"/>
    <m/>
    <m/>
  </r>
  <r>
    <m/>
    <x v="2"/>
    <s v="A-493-0015"/>
    <n v="3879"/>
    <x v="2"/>
    <d v="2026-03-17T00:00:00"/>
    <d v="2026-03-17T00:00:00"/>
    <d v="1899-12-30T08:00:00"/>
    <m/>
    <m/>
    <m/>
    <m/>
    <m/>
    <m/>
    <s v="B. Jung"/>
    <m/>
    <m/>
    <n v="30"/>
    <n v="4"/>
    <n v="0.5"/>
    <n v="33"/>
    <m/>
    <m/>
    <m/>
    <m/>
    <m/>
    <m/>
    <m/>
    <m/>
    <n v="322"/>
    <n v="1"/>
    <n v="1"/>
    <n v="1"/>
    <n v="0"/>
    <n v="4"/>
    <m/>
    <m/>
  </r>
  <r>
    <m/>
    <x v="2"/>
    <s v="A-493-0015"/>
    <n v="3879"/>
    <x v="1"/>
    <d v="2025-10-15T00:00:00"/>
    <d v="2025-10-15T00:00:00"/>
    <d v="1899-12-30T08:00:00"/>
    <m/>
    <m/>
    <m/>
    <m/>
    <m/>
    <m/>
    <s v="W. Mitchell"/>
    <m/>
    <m/>
    <n v="30"/>
    <n v="4"/>
    <n v="0.5"/>
    <n v="17"/>
    <m/>
    <m/>
    <m/>
    <m/>
    <m/>
    <m/>
    <m/>
    <m/>
    <n v="169"/>
    <n v="1"/>
    <n v="1"/>
    <n v="1"/>
    <n v="0"/>
    <n v="4"/>
    <m/>
    <m/>
  </r>
  <r>
    <m/>
    <x v="2"/>
    <s v="A-493-0015"/>
    <n v="3879"/>
    <x v="0"/>
    <d v="2026-08-13T00:00:00"/>
    <d v="2026-08-13T00:00:00"/>
    <m/>
    <d v="1899-12-30T06:00:00"/>
    <m/>
    <m/>
    <m/>
    <m/>
    <m/>
    <s v="W. Mitchell"/>
    <m/>
    <m/>
    <n v="30"/>
    <n v="4"/>
    <n v="0.5"/>
    <n v="0"/>
    <m/>
    <m/>
    <m/>
    <m/>
    <m/>
    <m/>
    <m/>
    <m/>
    <n v="471"/>
    <n v="1"/>
    <n v="1"/>
    <n v="1"/>
    <n v="0"/>
    <n v="4"/>
    <m/>
    <m/>
  </r>
  <r>
    <m/>
    <x v="3"/>
    <s v="A-493-0019"/>
    <n v="3882"/>
    <x v="1"/>
    <d v="2025-10-30T00:00:00"/>
    <d v="2025-10-31T00:00:00"/>
    <d v="1899-12-30T08:00:00"/>
    <m/>
    <m/>
    <m/>
    <m/>
    <m/>
    <m/>
    <s v="B. Jung"/>
    <s v="W. Mitchell"/>
    <m/>
    <n v="25"/>
    <n v="16"/>
    <n v="2"/>
    <n v="14"/>
    <m/>
    <m/>
    <m/>
    <m/>
    <m/>
    <m/>
    <m/>
    <m/>
    <n v="185"/>
    <n v="1"/>
    <n v="1"/>
    <n v="1"/>
    <n v="1"/>
    <n v="8"/>
    <m/>
    <m/>
  </r>
  <r>
    <m/>
    <x v="3"/>
    <s v="A-493-0019"/>
    <n v="3882"/>
    <x v="2"/>
    <d v="2026-03-12T00:00:00"/>
    <d v="2026-03-13T00:00:00"/>
    <d v="1899-12-30T08:00:00"/>
    <m/>
    <m/>
    <m/>
    <m/>
    <m/>
    <m/>
    <s v="B. Jung"/>
    <s v="A. Harris"/>
    <m/>
    <n v="25"/>
    <n v="16"/>
    <n v="2"/>
    <n v="9"/>
    <m/>
    <m/>
    <m/>
    <m/>
    <m/>
    <m/>
    <m/>
    <m/>
    <n v="318"/>
    <n v="1"/>
    <n v="1"/>
    <n v="1"/>
    <n v="1"/>
    <n v="8"/>
    <m/>
    <m/>
  </r>
  <r>
    <m/>
    <x v="4"/>
    <s v="A-493-0020"/>
    <n v="3888"/>
    <x v="0"/>
    <d v="2026-02-12T00:00:00"/>
    <d v="2026-02-12T00:00:00"/>
    <m/>
    <d v="1899-12-30T19:00:00"/>
    <m/>
    <m/>
    <m/>
    <m/>
    <m/>
    <s v="B. Jung"/>
    <m/>
    <m/>
    <n v="30"/>
    <n v="4"/>
    <n v="0.5"/>
    <n v="0"/>
    <m/>
    <m/>
    <m/>
    <m/>
    <m/>
    <m/>
    <m/>
    <m/>
    <n v="289"/>
    <n v="1"/>
    <n v="1"/>
    <n v="1"/>
    <n v="0"/>
    <n v="4"/>
    <m/>
    <m/>
  </r>
  <r>
    <m/>
    <x v="4"/>
    <s v="A-493-0020"/>
    <n v="3888"/>
    <x v="2"/>
    <d v="2026-03-17T00:00:00"/>
    <d v="2026-03-17T00:00:00"/>
    <d v="1899-12-30T08:00:00"/>
    <m/>
    <m/>
    <m/>
    <m/>
    <m/>
    <m/>
    <s v="B. Jung"/>
    <m/>
    <m/>
    <n v="30"/>
    <n v="4"/>
    <n v="0.5"/>
    <n v="36"/>
    <m/>
    <m/>
    <m/>
    <m/>
    <m/>
    <m/>
    <m/>
    <m/>
    <n v="322"/>
    <n v="1"/>
    <n v="1"/>
    <n v="1"/>
    <n v="0"/>
    <n v="4"/>
    <m/>
    <m/>
  </r>
  <r>
    <m/>
    <x v="4"/>
    <s v="A-493-0020"/>
    <n v="3888"/>
    <x v="1"/>
    <d v="2025-10-15T00:00:00"/>
    <d v="2025-10-15T00:00:00"/>
    <d v="1903-07-23T13:00:00"/>
    <m/>
    <m/>
    <m/>
    <m/>
    <m/>
    <m/>
    <s v="W. Mitchell"/>
    <m/>
    <m/>
    <n v="30"/>
    <n v="4"/>
    <n v="0.5"/>
    <n v="13"/>
    <m/>
    <m/>
    <m/>
    <m/>
    <m/>
    <m/>
    <m/>
    <m/>
    <n v="169"/>
    <n v="1"/>
    <n v="1"/>
    <n v="1"/>
    <n v="0"/>
    <n v="4"/>
    <m/>
    <m/>
  </r>
  <r>
    <m/>
    <x v="4"/>
    <s v="A-493-0020"/>
    <n v="3888"/>
    <x v="0"/>
    <d v="2026-08-12T00:00:00"/>
    <d v="2026-08-12T00:00:00"/>
    <m/>
    <d v="1899-12-30T06:00:00"/>
    <m/>
    <m/>
    <m/>
    <m/>
    <m/>
    <s v="W. Mitchell"/>
    <m/>
    <m/>
    <n v="30"/>
    <n v="4"/>
    <n v="0.5"/>
    <n v="0"/>
    <m/>
    <m/>
    <m/>
    <m/>
    <m/>
    <m/>
    <m/>
    <m/>
    <n v="470"/>
    <n v="1"/>
    <n v="1"/>
    <n v="1"/>
    <n v="0"/>
    <n v="4"/>
    <m/>
    <m/>
  </r>
  <r>
    <m/>
    <x v="5"/>
    <s v="A-493-0069"/>
    <s v="450U"/>
    <x v="1"/>
    <d v="2025-10-20T00:00:00"/>
    <d v="2025-10-24T00:00:00"/>
    <d v="1899-12-30T08:00:00"/>
    <m/>
    <m/>
    <m/>
    <m/>
    <m/>
    <m/>
    <s v="B. Jung"/>
    <s v="W. Mitchell"/>
    <m/>
    <n v="25"/>
    <n v="40"/>
    <n v="5"/>
    <n v="15"/>
    <m/>
    <m/>
    <m/>
    <m/>
    <m/>
    <m/>
    <m/>
    <m/>
    <n v="178"/>
    <n v="1"/>
    <n v="1"/>
    <n v="1"/>
    <n v="1"/>
    <n v="20"/>
    <m/>
    <m/>
  </r>
  <r>
    <m/>
    <x v="5"/>
    <s v="A-493-0069"/>
    <s v="450U"/>
    <x v="2"/>
    <d v="2026-03-02T00:00:00"/>
    <d v="2026-03-06T00:00:00"/>
    <d v="1899-12-30T08:00:00"/>
    <m/>
    <m/>
    <m/>
    <m/>
    <m/>
    <m/>
    <s v="B. Jung"/>
    <s v="A. Harris"/>
    <m/>
    <n v="25"/>
    <n v="40"/>
    <n v="5"/>
    <n v="27"/>
    <m/>
    <m/>
    <m/>
    <m/>
    <m/>
    <m/>
    <m/>
    <m/>
    <n v="311"/>
    <n v="1"/>
    <n v="1"/>
    <n v="1"/>
    <n v="1"/>
    <n v="20"/>
    <m/>
    <m/>
  </r>
  <r>
    <m/>
    <x v="6"/>
    <s v="A-493-0070"/>
    <s v="450V"/>
    <x v="0"/>
    <d v="2026-02-09T00:00:00"/>
    <d v="2026-02-10T00:00:00"/>
    <m/>
    <d v="1899-12-30T19:00:00"/>
    <m/>
    <m/>
    <m/>
    <m/>
    <m/>
    <s v="B. Jung"/>
    <m/>
    <m/>
    <n v="30"/>
    <n v="8"/>
    <n v="1"/>
    <n v="0"/>
    <m/>
    <m/>
    <m/>
    <m/>
    <m/>
    <m/>
    <m/>
    <m/>
    <n v="287"/>
    <n v="1"/>
    <n v="1"/>
    <n v="1"/>
    <n v="0"/>
    <n v="8"/>
    <m/>
    <m/>
  </r>
  <r>
    <m/>
    <x v="6"/>
    <s v="A-493-0070"/>
    <s v="450V"/>
    <x v="2"/>
    <d v="2026-03-16T00:00:00"/>
    <d v="2026-03-16T00:00:00"/>
    <d v="1899-12-30T08:00:00"/>
    <m/>
    <m/>
    <m/>
    <m/>
    <m/>
    <m/>
    <s v="B. Jung"/>
    <m/>
    <m/>
    <n v="30"/>
    <n v="8"/>
    <n v="1"/>
    <n v="13"/>
    <m/>
    <m/>
    <m/>
    <m/>
    <m/>
    <m/>
    <m/>
    <m/>
    <n v="321"/>
    <n v="1"/>
    <n v="1"/>
    <n v="1"/>
    <n v="0"/>
    <n v="8"/>
    <m/>
    <m/>
  </r>
  <r>
    <m/>
    <x v="6"/>
    <s v="A-493-0070"/>
    <s v="450V"/>
    <x v="1"/>
    <d v="2025-10-14T00:00:00"/>
    <d v="2025-10-14T00:00:00"/>
    <d v="1899-12-30T08:00:00"/>
    <m/>
    <m/>
    <m/>
    <m/>
    <m/>
    <m/>
    <s v="W. Mitchell"/>
    <m/>
    <m/>
    <n v="30"/>
    <n v="8"/>
    <n v="1"/>
    <n v="13"/>
    <m/>
    <m/>
    <m/>
    <m/>
    <m/>
    <m/>
    <m/>
    <m/>
    <n v="168"/>
    <n v="1"/>
    <n v="1"/>
    <n v="1"/>
    <n v="0"/>
    <n v="8"/>
    <m/>
    <m/>
  </r>
  <r>
    <m/>
    <x v="6"/>
    <s v="A-493-0070"/>
    <s v="450V"/>
    <x v="0"/>
    <d v="2026-08-10T00:00:00"/>
    <d v="2026-08-11T00:00:00"/>
    <m/>
    <d v="1899-12-30T06:00:00"/>
    <m/>
    <m/>
    <m/>
    <m/>
    <m/>
    <s v="W. Mitchell"/>
    <m/>
    <m/>
    <n v="30"/>
    <n v="8"/>
    <n v="1"/>
    <n v="0"/>
    <m/>
    <m/>
    <m/>
    <m/>
    <m/>
    <m/>
    <m/>
    <m/>
    <n v="469"/>
    <n v="1"/>
    <n v="1"/>
    <n v="1"/>
    <n v="0"/>
    <n v="8"/>
    <m/>
    <m/>
  </r>
  <r>
    <m/>
    <x v="7"/>
    <s v="A-493-0665"/>
    <s v="10KW"/>
    <x v="0"/>
    <d v="2025-10-27T00:00:00"/>
    <d v="2025-10-29T00:00:00"/>
    <m/>
    <d v="1899-12-30T08:00:00"/>
    <m/>
    <m/>
    <m/>
    <m/>
    <m/>
    <s v="LSC Kitivi"/>
    <m/>
    <m/>
    <n v="45"/>
    <n v="24"/>
    <n v="3"/>
    <n v="140"/>
    <m/>
    <m/>
    <m/>
    <m/>
    <m/>
    <m/>
    <m/>
    <m/>
    <n v="183"/>
    <n v="1"/>
    <n v="1"/>
    <n v="1"/>
    <n v="0"/>
    <n v="24"/>
    <m/>
    <m/>
  </r>
  <r>
    <m/>
    <x v="7"/>
    <s v="A-493-0665"/>
    <s v="10KW"/>
    <x v="0"/>
    <d v="2025-11-17T00:00:00"/>
    <d v="2025-11-19T00:00:00"/>
    <m/>
    <d v="1899-12-30T19:00:00"/>
    <m/>
    <m/>
    <m/>
    <m/>
    <m/>
    <s v="LSC Kitivi"/>
    <m/>
    <m/>
    <n v="45"/>
    <n v="24"/>
    <n v="3"/>
    <n v="82"/>
    <m/>
    <m/>
    <m/>
    <m/>
    <m/>
    <m/>
    <m/>
    <m/>
    <n v="204"/>
    <n v="1"/>
    <n v="1"/>
    <n v="1"/>
    <n v="0"/>
    <n v="24"/>
    <m/>
    <m/>
  </r>
  <r>
    <m/>
    <x v="7"/>
    <s v="A-493-0665"/>
    <s v="10KW"/>
    <x v="0"/>
    <d v="2025-12-08T00:00:00"/>
    <d v="2025-12-10T00:00:00"/>
    <m/>
    <d v="1899-12-30T12:00:00"/>
    <m/>
    <m/>
    <m/>
    <m/>
    <m/>
    <s v="LSC Kitivi"/>
    <m/>
    <m/>
    <n v="45"/>
    <n v="24"/>
    <n v="3"/>
    <n v="337"/>
    <m/>
    <m/>
    <m/>
    <m/>
    <m/>
    <m/>
    <m/>
    <m/>
    <n v="225"/>
    <n v="1"/>
    <n v="1"/>
    <n v="1"/>
    <n v="0"/>
    <n v="24"/>
    <m/>
    <m/>
  </r>
  <r>
    <m/>
    <x v="7"/>
    <s v="A-493-0665"/>
    <s v="10KW"/>
    <x v="0"/>
    <d v="2026-01-12T00:00:00"/>
    <d v="2026-01-14T00:00:00"/>
    <m/>
    <d v="1899-12-30T08:00:00"/>
    <m/>
    <m/>
    <m/>
    <m/>
    <m/>
    <s v="LSC Kitivi"/>
    <m/>
    <m/>
    <n v="45"/>
    <n v="24"/>
    <n v="3"/>
    <n v="140"/>
    <m/>
    <m/>
    <m/>
    <m/>
    <m/>
    <m/>
    <m/>
    <m/>
    <n v="260"/>
    <n v="1"/>
    <n v="1"/>
    <n v="1"/>
    <n v="0"/>
    <n v="24"/>
    <m/>
    <m/>
  </r>
  <r>
    <m/>
    <x v="7"/>
    <s v="A-493-0665"/>
    <s v="10KW"/>
    <x v="0"/>
    <d v="2026-02-23T00:00:00"/>
    <d v="2026-02-25T00:00:00"/>
    <m/>
    <d v="1899-12-30T19:00:00"/>
    <m/>
    <m/>
    <m/>
    <m/>
    <m/>
    <s v="LSC Kitivi"/>
    <m/>
    <m/>
    <n v="45"/>
    <n v="24"/>
    <n v="3"/>
    <n v="82"/>
    <m/>
    <m/>
    <m/>
    <m/>
    <m/>
    <m/>
    <m/>
    <m/>
    <n v="302"/>
    <n v="1"/>
    <n v="1"/>
    <n v="1"/>
    <n v="0"/>
    <n v="24"/>
    <m/>
    <m/>
  </r>
  <r>
    <m/>
    <x v="7"/>
    <s v="A-493-0665"/>
    <s v="10KW"/>
    <x v="0"/>
    <d v="2026-04-06T00:00:00"/>
    <d v="2026-04-08T00:00:00"/>
    <m/>
    <d v="1899-12-30T12:00:00"/>
    <m/>
    <m/>
    <m/>
    <m/>
    <m/>
    <s v="LSC Kitivi"/>
    <m/>
    <m/>
    <n v="45"/>
    <n v="24"/>
    <n v="3"/>
    <n v="337"/>
    <m/>
    <m/>
    <m/>
    <m/>
    <m/>
    <m/>
    <m/>
    <m/>
    <n v="344"/>
    <n v="1"/>
    <n v="1"/>
    <n v="1"/>
    <n v="0"/>
    <n v="24"/>
    <m/>
    <m/>
  </r>
  <r>
    <m/>
    <x v="7"/>
    <s v="A-493-0665"/>
    <s v="10KW"/>
    <x v="0"/>
    <d v="2026-05-11T00:00:00"/>
    <d v="2026-05-13T00:00:00"/>
    <m/>
    <d v="1899-12-30T08:00:00"/>
    <m/>
    <m/>
    <m/>
    <m/>
    <m/>
    <s v="LSC Kitivi"/>
    <m/>
    <m/>
    <n v="45"/>
    <n v="24"/>
    <n v="3"/>
    <n v="140"/>
    <m/>
    <m/>
    <m/>
    <m/>
    <m/>
    <m/>
    <m/>
    <m/>
    <n v="379"/>
    <n v="1"/>
    <n v="1"/>
    <n v="1"/>
    <n v="0"/>
    <n v="24"/>
    <m/>
    <m/>
  </r>
  <r>
    <m/>
    <x v="7"/>
    <s v="A-493-0665"/>
    <s v="10KW"/>
    <x v="0"/>
    <d v="2026-06-08T00:00:00"/>
    <d v="2026-06-10T00:00:00"/>
    <m/>
    <d v="1899-12-30T19:00:00"/>
    <m/>
    <m/>
    <m/>
    <m/>
    <m/>
    <s v="LSC Kitivi"/>
    <m/>
    <m/>
    <n v="45"/>
    <n v="24"/>
    <n v="3"/>
    <n v="82"/>
    <m/>
    <m/>
    <m/>
    <m/>
    <m/>
    <m/>
    <m/>
    <m/>
    <n v="407"/>
    <n v="1"/>
    <n v="1"/>
    <n v="1"/>
    <n v="0"/>
    <n v="24"/>
    <m/>
    <m/>
  </r>
  <r>
    <m/>
    <x v="7"/>
    <s v="A-493-0665"/>
    <s v="10KW"/>
    <x v="0"/>
    <d v="2026-07-06T00:00:00"/>
    <d v="2026-07-08T00:00:00"/>
    <m/>
    <d v="1899-12-30T12:00:00"/>
    <m/>
    <m/>
    <m/>
    <m/>
    <m/>
    <s v="LSC Kitivi"/>
    <m/>
    <m/>
    <n v="45"/>
    <n v="24"/>
    <n v="3"/>
    <n v="337"/>
    <m/>
    <m/>
    <m/>
    <m/>
    <m/>
    <m/>
    <m/>
    <m/>
    <n v="435"/>
    <n v="1"/>
    <n v="1"/>
    <n v="1"/>
    <n v="0"/>
    <n v="24"/>
    <m/>
    <m/>
  </r>
  <r>
    <m/>
    <x v="7"/>
    <s v="A-493-0665"/>
    <s v="10KW"/>
    <x v="0"/>
    <d v="2026-08-10T00:00:00"/>
    <d v="2026-08-12T00:00:00"/>
    <m/>
    <d v="1899-12-30T12:00:00"/>
    <m/>
    <m/>
    <m/>
    <m/>
    <m/>
    <s v="LSC Kitivi"/>
    <m/>
    <m/>
    <n v="45"/>
    <n v="24"/>
    <n v="3"/>
    <n v="337"/>
    <m/>
    <m/>
    <m/>
    <m/>
    <m/>
    <m/>
    <m/>
    <m/>
    <n v="470"/>
    <n v="1"/>
    <n v="1"/>
    <n v="1"/>
    <n v="0"/>
    <n v="24"/>
    <m/>
    <m/>
  </r>
  <r>
    <s v="QTR 1 All Hands @0900"/>
    <x v="8"/>
    <s v="Function"/>
    <s v="Function"/>
    <x v="3"/>
    <d v="2025-10-16T00:00:00"/>
    <d v="2025-10-16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170"/>
    <n v="0"/>
    <n v="0"/>
    <n v="0"/>
    <n v="0"/>
    <e v="#DIV/0!"/>
    <n v="0"/>
    <n v="1"/>
  </r>
  <r>
    <s v="Thanksgiving Potluck"/>
    <x v="8"/>
    <s v="Function"/>
    <s v="Function"/>
    <x v="3"/>
    <d v="2025-11-25T00:00:00"/>
    <d v="2025-11-25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210"/>
    <n v="0"/>
    <n v="0"/>
    <n v="0"/>
    <n v="0"/>
    <e v="#DIV/0!"/>
    <n v="0"/>
    <n v="1"/>
  </r>
  <r>
    <s v="Christmas Function"/>
    <x v="8"/>
    <s v="Function"/>
    <s v="Function"/>
    <x v="3"/>
    <d v="2025-12-16T00:00:00"/>
    <d v="2025-12-16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231"/>
    <n v="0"/>
    <n v="0"/>
    <n v="0"/>
    <n v="0"/>
    <e v="#DIV/0!"/>
    <n v="0"/>
    <n v="1"/>
  </r>
  <r>
    <s v="QTR 3 All Hands @0900"/>
    <x v="8"/>
    <s v="Function"/>
    <s v="Function"/>
    <x v="1"/>
    <d v="2026-04-13T00:00:00"/>
    <d v="2026-04-13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349"/>
    <n v="0"/>
    <n v="1"/>
    <n v="1"/>
    <n v="0"/>
    <n v="0"/>
    <m/>
    <n v="3"/>
  </r>
  <r>
    <s v="July 4th Function"/>
    <x v="8"/>
    <s v="Function"/>
    <s v="Function"/>
    <x v="3"/>
    <d v="2026-06-30T00:00:00"/>
    <d v="2026-06-30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427"/>
    <n v="0"/>
    <n v="1"/>
    <n v="1"/>
    <n v="0"/>
    <n v="0"/>
    <n v="0"/>
    <n v="4"/>
  </r>
  <r>
    <s v="QTR 4 All Hands @0900"/>
    <x v="8"/>
    <s v="Function"/>
    <s v="Function"/>
    <x v="1"/>
    <d v="2026-08-13T00:00:00"/>
    <d v="2026-08-13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471"/>
    <n v="0"/>
    <n v="1"/>
    <n v="1"/>
    <n v="0"/>
    <n v="0"/>
    <n v="0"/>
    <n v="4"/>
  </r>
  <r>
    <m/>
    <x v="9"/>
    <s v="A-493-0103"/>
    <s v="12JY"/>
    <x v="4"/>
    <d v="2025-10-20T00:00:00"/>
    <d v="2025-10-24T00:00:00"/>
    <d v="1899-12-30T08:00:00"/>
    <m/>
    <m/>
    <m/>
    <m/>
    <m/>
    <m/>
    <s v="SOH Contractor"/>
    <m/>
    <m/>
    <n v="25"/>
    <n v="40"/>
    <n v="5"/>
    <n v="476"/>
    <m/>
    <m/>
    <m/>
    <m/>
    <m/>
    <m/>
    <m/>
    <m/>
    <n v="178"/>
    <n v="1"/>
    <n v="1"/>
    <n v="1"/>
    <n v="0"/>
    <n v="40"/>
    <m/>
    <m/>
  </r>
  <r>
    <m/>
    <x v="9"/>
    <s v="A-493-0103"/>
    <s v="12JY"/>
    <x v="4"/>
    <d v="2025-10-27T00:00:00"/>
    <d v="2025-10-31T00:00:00"/>
    <d v="1899-12-30T08:00:00"/>
    <m/>
    <m/>
    <m/>
    <m/>
    <m/>
    <m/>
    <s v="SOH Contractor"/>
    <m/>
    <m/>
    <n v="25"/>
    <n v="40"/>
    <n v="5"/>
    <n v="476"/>
    <m/>
    <m/>
    <m/>
    <m/>
    <m/>
    <m/>
    <m/>
    <m/>
    <n v="185"/>
    <n v="1"/>
    <n v="1"/>
    <n v="1"/>
    <n v="0"/>
    <n v="40"/>
    <m/>
    <m/>
  </r>
  <r>
    <m/>
    <x v="9"/>
    <s v="A-493-0103"/>
    <s v="12JY"/>
    <x v="5"/>
    <d v="2025-12-08T00:00:00"/>
    <d v="2025-12-12T00:00:00"/>
    <d v="1899-12-30T08:00:00"/>
    <m/>
    <m/>
    <m/>
    <m/>
    <m/>
    <m/>
    <s v="SOH Contractor"/>
    <m/>
    <m/>
    <n v="25"/>
    <n v="40"/>
    <n v="5"/>
    <n v="429"/>
    <m/>
    <m/>
    <m/>
    <m/>
    <m/>
    <m/>
    <m/>
    <m/>
    <n v="227"/>
    <n v="1"/>
    <n v="1"/>
    <n v="1"/>
    <n v="0"/>
    <n v="40"/>
    <m/>
    <m/>
  </r>
  <r>
    <m/>
    <x v="9"/>
    <s v="A-493-0103"/>
    <s v="12JY"/>
    <x v="3"/>
    <d v="2026-01-05T00:00:00"/>
    <d v="2026-01-09T00:00:00"/>
    <d v="1899-12-30T08:00:00"/>
    <m/>
    <m/>
    <m/>
    <m/>
    <m/>
    <m/>
    <s v="SOH Contractor"/>
    <m/>
    <m/>
    <n v="25"/>
    <n v="40"/>
    <n v="5"/>
    <n v="476"/>
    <m/>
    <m/>
    <m/>
    <m/>
    <m/>
    <m/>
    <m/>
    <m/>
    <n v="255"/>
    <n v="1"/>
    <n v="1"/>
    <n v="1"/>
    <n v="0"/>
    <n v="40"/>
    <m/>
    <m/>
  </r>
  <r>
    <m/>
    <x v="9"/>
    <s v="A-493-0103"/>
    <s v="12JY"/>
    <x v="3"/>
    <d v="2026-01-12T00:00:00"/>
    <d v="2026-01-16T00:00:00"/>
    <d v="1899-12-30T08:00:00"/>
    <m/>
    <m/>
    <m/>
    <m/>
    <m/>
    <m/>
    <s v="SOH Contractor"/>
    <m/>
    <m/>
    <n v="25"/>
    <n v="40"/>
    <n v="5"/>
    <n v="476"/>
    <m/>
    <m/>
    <m/>
    <m/>
    <m/>
    <m/>
    <m/>
    <m/>
    <n v="262"/>
    <n v="1"/>
    <n v="1"/>
    <n v="1"/>
    <n v="0"/>
    <n v="40"/>
    <m/>
    <m/>
  </r>
  <r>
    <m/>
    <x v="9"/>
    <s v="A-493-0103"/>
    <s v="12JY"/>
    <x v="6"/>
    <d v="2026-01-12T00:00:00"/>
    <d v="2026-01-16T00:00:00"/>
    <d v="1899-12-30T08:00:00"/>
    <m/>
    <m/>
    <m/>
    <m/>
    <m/>
    <m/>
    <s v="SOH Contractor"/>
    <m/>
    <m/>
    <n v="25"/>
    <n v="40"/>
    <n v="5"/>
    <n v="0"/>
    <m/>
    <m/>
    <m/>
    <m/>
    <m/>
    <m/>
    <m/>
    <m/>
    <n v="262"/>
    <n v="1"/>
    <n v="1"/>
    <n v="1"/>
    <n v="0"/>
    <n v="40"/>
    <m/>
    <m/>
  </r>
  <r>
    <m/>
    <x v="9"/>
    <s v="A-493-0103"/>
    <s v="12JY"/>
    <x v="5"/>
    <d v="2026-01-26T00:00:00"/>
    <d v="2026-01-30T00:00:00"/>
    <d v="1899-12-30T08:00:00"/>
    <m/>
    <m/>
    <m/>
    <m/>
    <m/>
    <m/>
    <s v="SOH Contractor"/>
    <m/>
    <m/>
    <n v="25"/>
    <n v="40"/>
    <n v="5"/>
    <n v="429"/>
    <m/>
    <m/>
    <m/>
    <m/>
    <m/>
    <m/>
    <m/>
    <m/>
    <n v="276"/>
    <n v="1"/>
    <n v="1"/>
    <n v="1"/>
    <n v="0"/>
    <n v="40"/>
    <m/>
    <m/>
  </r>
  <r>
    <m/>
    <x v="9"/>
    <s v="A-493-0103"/>
    <s v="12JY"/>
    <x v="5"/>
    <d v="2026-02-02T00:00:00"/>
    <d v="2026-02-06T00:00:00"/>
    <d v="1899-12-30T08:00:00"/>
    <m/>
    <m/>
    <m/>
    <m/>
    <m/>
    <m/>
    <s v="SOH Contractor"/>
    <m/>
    <m/>
    <n v="25"/>
    <n v="40"/>
    <n v="5"/>
    <n v="429"/>
    <m/>
    <m/>
    <m/>
    <m/>
    <m/>
    <m/>
    <m/>
    <m/>
    <n v="283"/>
    <n v="1"/>
    <n v="1"/>
    <n v="1"/>
    <n v="0"/>
    <n v="40"/>
    <m/>
    <m/>
  </r>
  <r>
    <m/>
    <x v="9"/>
    <s v="A-493-0103"/>
    <s v="12JY"/>
    <x v="7"/>
    <d v="2026-02-02T00:00:00"/>
    <d v="2026-02-06T00:00:00"/>
    <d v="1899-12-30T08:00:00"/>
    <m/>
    <m/>
    <m/>
    <m/>
    <m/>
    <m/>
    <s v="SOH Contractor"/>
    <m/>
    <m/>
    <n v="25"/>
    <n v="40"/>
    <n v="5"/>
    <n v="49"/>
    <m/>
    <m/>
    <m/>
    <m/>
    <m/>
    <m/>
    <m/>
    <m/>
    <n v="283"/>
    <n v="1"/>
    <n v="1"/>
    <n v="1"/>
    <n v="0"/>
    <n v="40"/>
    <m/>
    <m/>
  </r>
  <r>
    <m/>
    <x v="9"/>
    <s v="A-493-0103"/>
    <s v="12JY"/>
    <x v="7"/>
    <d v="2026-02-09T00:00:00"/>
    <d v="2026-02-13T00:00:00"/>
    <d v="1899-12-30T08:00:00"/>
    <m/>
    <m/>
    <m/>
    <m/>
    <m/>
    <m/>
    <s v="SOH Contractor"/>
    <m/>
    <m/>
    <n v="25"/>
    <n v="40"/>
    <n v="5"/>
    <n v="49"/>
    <m/>
    <m/>
    <m/>
    <m/>
    <m/>
    <m/>
    <m/>
    <m/>
    <n v="290"/>
    <n v="1"/>
    <n v="1"/>
    <n v="1"/>
    <n v="0"/>
    <n v="40"/>
    <m/>
    <m/>
  </r>
  <r>
    <m/>
    <x v="9"/>
    <s v="A-493-0103"/>
    <s v="12JY"/>
    <x v="3"/>
    <d v="2026-03-09T00:00:00"/>
    <d v="2026-03-13T00:00:00"/>
    <d v="1899-12-30T08:00:00"/>
    <m/>
    <m/>
    <m/>
    <m/>
    <m/>
    <m/>
    <s v="SOH Contractor"/>
    <m/>
    <m/>
    <n v="25"/>
    <n v="40"/>
    <n v="5"/>
    <n v="476"/>
    <m/>
    <m/>
    <m/>
    <m/>
    <m/>
    <m/>
    <m/>
    <m/>
    <n v="318"/>
    <n v="1"/>
    <n v="1"/>
    <n v="1"/>
    <n v="0"/>
    <n v="40"/>
    <m/>
    <m/>
  </r>
  <r>
    <m/>
    <x v="9"/>
    <s v="A-493-0103"/>
    <s v="12JY"/>
    <x v="3"/>
    <d v="2026-03-16T00:00:00"/>
    <d v="2026-03-20T00:00:00"/>
    <d v="1899-12-30T08:00:00"/>
    <m/>
    <m/>
    <m/>
    <m/>
    <m/>
    <m/>
    <s v="SOH Contractor"/>
    <m/>
    <m/>
    <n v="25"/>
    <n v="40"/>
    <n v="5"/>
    <n v="476"/>
    <m/>
    <m/>
    <m/>
    <m/>
    <m/>
    <m/>
    <m/>
    <m/>
    <n v="325"/>
    <n v="1"/>
    <n v="1"/>
    <n v="1"/>
    <n v="0"/>
    <n v="40"/>
    <m/>
    <m/>
  </r>
  <r>
    <m/>
    <x v="9"/>
    <s v="A-493-0103"/>
    <s v="12JY"/>
    <x v="5"/>
    <d v="2026-03-23T00:00:00"/>
    <d v="2026-03-26T00:00:00"/>
    <d v="1899-12-30T08:00:00"/>
    <m/>
    <m/>
    <m/>
    <m/>
    <m/>
    <m/>
    <s v="SOH Contractor"/>
    <m/>
    <m/>
    <n v="25"/>
    <n v="40"/>
    <n v="5"/>
    <n v="429"/>
    <m/>
    <m/>
    <m/>
    <m/>
    <m/>
    <m/>
    <m/>
    <m/>
    <n v="331"/>
    <n v="1"/>
    <n v="1"/>
    <n v="1"/>
    <n v="0"/>
    <n v="40"/>
    <m/>
    <m/>
  </r>
  <r>
    <m/>
    <x v="9"/>
    <s v="A-493-0103"/>
    <s v="12JY"/>
    <x v="5"/>
    <d v="2026-03-30T00:00:00"/>
    <d v="2026-04-03T00:00:00"/>
    <d v="1899-12-30T08:00:00"/>
    <m/>
    <m/>
    <m/>
    <m/>
    <m/>
    <m/>
    <s v="SOH Contractor"/>
    <m/>
    <m/>
    <n v="25"/>
    <n v="40"/>
    <n v="5"/>
    <n v="429"/>
    <m/>
    <m/>
    <m/>
    <m/>
    <m/>
    <m/>
    <m/>
    <m/>
    <n v="339"/>
    <n v="1"/>
    <n v="1"/>
    <n v="1"/>
    <n v="0"/>
    <n v="40"/>
    <m/>
    <m/>
  </r>
  <r>
    <m/>
    <x v="9"/>
    <s v="A-493-0103"/>
    <s v="12JY"/>
    <x v="7"/>
    <d v="2026-04-06T00:00:00"/>
    <d v="2026-04-10T00:00:00"/>
    <d v="1899-12-30T08:00:00"/>
    <m/>
    <m/>
    <m/>
    <m/>
    <m/>
    <m/>
    <s v="SOH Contractor"/>
    <m/>
    <m/>
    <n v="25"/>
    <n v="40"/>
    <n v="5"/>
    <n v="49"/>
    <m/>
    <m/>
    <m/>
    <m/>
    <m/>
    <m/>
    <m/>
    <m/>
    <n v="346"/>
    <n v="1"/>
    <n v="1"/>
    <n v="1"/>
    <n v="0"/>
    <n v="40"/>
    <m/>
    <m/>
  </r>
  <r>
    <m/>
    <x v="9"/>
    <s v="A-493-0103"/>
    <s v="12JY"/>
    <x v="8"/>
    <d v="2026-04-13T00:00:00"/>
    <d v="2026-04-17T00:00:00"/>
    <d v="1899-12-30T08:00:00"/>
    <m/>
    <m/>
    <m/>
    <m/>
    <m/>
    <m/>
    <s v="SOH Contractor"/>
    <m/>
    <m/>
    <n v="25"/>
    <n v="40"/>
    <n v="5"/>
    <n v="33"/>
    <m/>
    <m/>
    <m/>
    <m/>
    <m/>
    <m/>
    <m/>
    <m/>
    <n v="353"/>
    <n v="1"/>
    <n v="1"/>
    <n v="1"/>
    <n v="0"/>
    <n v="40"/>
    <m/>
    <m/>
  </r>
  <r>
    <m/>
    <x v="9"/>
    <s v="A-493-0103"/>
    <s v="12JY"/>
    <x v="9"/>
    <d v="2026-04-13T00:00:00"/>
    <d v="2026-04-17T00:00:00"/>
    <d v="1899-12-30T08:00:00"/>
    <m/>
    <m/>
    <m/>
    <m/>
    <m/>
    <m/>
    <s v="SOH Contractor"/>
    <m/>
    <m/>
    <n v="25"/>
    <n v="40"/>
    <n v="5"/>
    <n v="67"/>
    <m/>
    <m/>
    <m/>
    <m/>
    <m/>
    <m/>
    <m/>
    <m/>
    <n v="353"/>
    <n v="1"/>
    <n v="1"/>
    <n v="1"/>
    <n v="0"/>
    <n v="40"/>
    <m/>
    <m/>
  </r>
  <r>
    <m/>
    <x v="9"/>
    <s v="A-493-0103"/>
    <s v="12JY"/>
    <x v="10"/>
    <d v="2026-05-04T00:00:00"/>
    <d v="2026-05-08T00:00:00"/>
    <d v="1899-12-30T08:00:00"/>
    <m/>
    <m/>
    <m/>
    <m/>
    <m/>
    <m/>
    <s v="SOH Contractor"/>
    <m/>
    <m/>
    <n v="25"/>
    <n v="40"/>
    <n v="5"/>
    <n v="11"/>
    <m/>
    <m/>
    <m/>
    <m/>
    <m/>
    <m/>
    <m/>
    <m/>
    <n v="374"/>
    <n v="1"/>
    <n v="1"/>
    <n v="1"/>
    <n v="0"/>
    <n v="40"/>
    <m/>
    <m/>
  </r>
  <r>
    <m/>
    <x v="9"/>
    <s v="A-493-0103"/>
    <s v="12JY"/>
    <x v="10"/>
    <d v="2026-05-11T00:00:00"/>
    <d v="2026-05-15T00:00:00"/>
    <d v="1899-12-30T08:00:00"/>
    <m/>
    <m/>
    <m/>
    <m/>
    <m/>
    <m/>
    <s v="SOH Contractor"/>
    <m/>
    <m/>
    <n v="25"/>
    <n v="40"/>
    <n v="5"/>
    <n v="11"/>
    <m/>
    <m/>
    <m/>
    <m/>
    <m/>
    <m/>
    <m/>
    <m/>
    <n v="381"/>
    <n v="1"/>
    <n v="1"/>
    <n v="1"/>
    <n v="0"/>
    <n v="40"/>
    <m/>
    <m/>
  </r>
  <r>
    <m/>
    <x v="9"/>
    <s v="A-493-0103"/>
    <s v="12JY"/>
    <x v="3"/>
    <d v="2026-06-01T00:00:00"/>
    <d v="2026-06-05T00:00:00"/>
    <d v="1899-12-30T08:00:00"/>
    <m/>
    <m/>
    <m/>
    <m/>
    <m/>
    <m/>
    <s v="SOH Contractor"/>
    <m/>
    <m/>
    <n v="25"/>
    <n v="40"/>
    <n v="5"/>
    <n v="476"/>
    <m/>
    <m/>
    <m/>
    <m/>
    <m/>
    <m/>
    <m/>
    <m/>
    <n v="402"/>
    <n v="1"/>
    <n v="1"/>
    <n v="1"/>
    <n v="0"/>
    <n v="40"/>
    <m/>
    <m/>
  </r>
  <r>
    <m/>
    <x v="9"/>
    <s v="A-493-0103"/>
    <s v="12JY"/>
    <x v="11"/>
    <d v="2026-06-01T00:00:00"/>
    <d v="2026-06-05T00:00:00"/>
    <d v="1899-12-30T08:00:00"/>
    <m/>
    <m/>
    <m/>
    <m/>
    <m/>
    <m/>
    <s v="SOH Contractor"/>
    <m/>
    <m/>
    <n v="25"/>
    <n v="40"/>
    <n v="5"/>
    <n v="9"/>
    <m/>
    <m/>
    <m/>
    <m/>
    <m/>
    <m/>
    <m/>
    <m/>
    <n v="402"/>
    <n v="1"/>
    <n v="1"/>
    <n v="1"/>
    <n v="0"/>
    <n v="40"/>
    <m/>
    <m/>
  </r>
  <r>
    <m/>
    <x v="9"/>
    <s v="A-493-0103"/>
    <s v="12JY"/>
    <x v="1"/>
    <d v="2026-06-08T00:00:00"/>
    <d v="2026-06-12T00:00:00"/>
    <d v="1899-12-30T08:00:00"/>
    <m/>
    <m/>
    <m/>
    <m/>
    <m/>
    <m/>
    <s v="SOH Contractor"/>
    <m/>
    <m/>
    <n v="25"/>
    <n v="40"/>
    <n v="5"/>
    <n v="476"/>
    <m/>
    <m/>
    <m/>
    <m/>
    <m/>
    <m/>
    <m/>
    <m/>
    <n v="409"/>
    <n v="1"/>
    <n v="1"/>
    <n v="1"/>
    <n v="0"/>
    <n v="40"/>
    <m/>
    <m/>
  </r>
  <r>
    <m/>
    <x v="9"/>
    <s v="A-493-0103"/>
    <s v="12JY"/>
    <x v="11"/>
    <d v="2026-06-08T00:00:00"/>
    <d v="2026-06-12T00:00:00"/>
    <d v="1899-12-30T08:00:00"/>
    <m/>
    <m/>
    <m/>
    <m/>
    <m/>
    <m/>
    <s v="SOH Contractor"/>
    <m/>
    <m/>
    <n v="25"/>
    <n v="40"/>
    <n v="5"/>
    <n v="9"/>
    <m/>
    <m/>
    <m/>
    <m/>
    <m/>
    <m/>
    <m/>
    <m/>
    <n v="409"/>
    <n v="1"/>
    <n v="1"/>
    <n v="1"/>
    <n v="0"/>
    <n v="40"/>
    <m/>
    <m/>
  </r>
  <r>
    <m/>
    <x v="9"/>
    <s v="A-493-0103"/>
    <s v="12JY"/>
    <x v="12"/>
    <d v="2026-06-22T00:00:00"/>
    <d v="2026-06-26T00:00:00"/>
    <d v="1899-12-30T08:00:00"/>
    <m/>
    <m/>
    <m/>
    <m/>
    <m/>
    <m/>
    <s v="SOH Contractor"/>
    <m/>
    <m/>
    <n v="25"/>
    <n v="40"/>
    <n v="5"/>
    <n v="67"/>
    <m/>
    <m/>
    <m/>
    <m/>
    <m/>
    <m/>
    <m/>
    <m/>
    <n v="423"/>
    <n v="1"/>
    <n v="1"/>
    <n v="1"/>
    <n v="0"/>
    <n v="40"/>
    <m/>
    <m/>
  </r>
  <r>
    <m/>
    <x v="9"/>
    <s v="A-493-0103"/>
    <s v="12JY"/>
    <x v="13"/>
    <d v="2026-07-13T00:00:00"/>
    <d v="2026-07-17T00:00:00"/>
    <d v="1899-12-30T08:00:00"/>
    <m/>
    <m/>
    <m/>
    <m/>
    <m/>
    <m/>
    <s v="SOH Contractor"/>
    <m/>
    <m/>
    <n v="25"/>
    <n v="40"/>
    <n v="5"/>
    <n v="55"/>
    <m/>
    <m/>
    <m/>
    <m/>
    <m/>
    <m/>
    <m/>
    <m/>
    <n v="444"/>
    <n v="1"/>
    <n v="1"/>
    <n v="1"/>
    <n v="0"/>
    <n v="40"/>
    <m/>
    <m/>
  </r>
  <r>
    <m/>
    <x v="9"/>
    <s v="A-493-0103"/>
    <s v="12JY"/>
    <x v="13"/>
    <d v="2026-07-20T00:00:00"/>
    <d v="2026-07-24T00:00:00"/>
    <d v="1899-12-30T08:00:00"/>
    <m/>
    <m/>
    <m/>
    <m/>
    <m/>
    <m/>
    <s v="SOH Contractor"/>
    <m/>
    <m/>
    <n v="25"/>
    <n v="40"/>
    <n v="5"/>
    <n v="55"/>
    <m/>
    <m/>
    <m/>
    <m/>
    <m/>
    <m/>
    <m/>
    <m/>
    <n v="451"/>
    <n v="1"/>
    <n v="1"/>
    <n v="1"/>
    <n v="0"/>
    <n v="40"/>
    <m/>
    <m/>
  </r>
  <r>
    <m/>
    <x v="9"/>
    <s v="A-493-0103"/>
    <s v="12JY"/>
    <x v="14"/>
    <d v="2026-07-20T00:00:00"/>
    <d v="2026-07-24T00:00:00"/>
    <d v="1899-12-30T08:00:00"/>
    <m/>
    <m/>
    <m/>
    <m/>
    <m/>
    <m/>
    <s v="SOH Contractor"/>
    <m/>
    <m/>
    <n v="25"/>
    <n v="40"/>
    <n v="5"/>
    <n v="7"/>
    <m/>
    <m/>
    <m/>
    <m/>
    <m/>
    <m/>
    <m/>
    <m/>
    <n v="451"/>
    <n v="1"/>
    <n v="1"/>
    <n v="1"/>
    <n v="0"/>
    <n v="40"/>
    <m/>
    <m/>
  </r>
  <r>
    <m/>
    <x v="9"/>
    <s v="A-493-0103"/>
    <s v="12JY"/>
    <x v="3"/>
    <d v="2026-07-27T00:00:00"/>
    <d v="2026-07-31T00:00:00"/>
    <d v="1899-12-30T08:00:00"/>
    <m/>
    <m/>
    <m/>
    <m/>
    <m/>
    <m/>
    <s v="SOH Contractor"/>
    <m/>
    <m/>
    <n v="25"/>
    <n v="40"/>
    <n v="5"/>
    <n v="476"/>
    <m/>
    <m/>
    <m/>
    <m/>
    <m/>
    <m/>
    <m/>
    <m/>
    <n v="458"/>
    <n v="1"/>
    <n v="1"/>
    <n v="1"/>
    <n v="0"/>
    <n v="40"/>
    <m/>
    <m/>
  </r>
  <r>
    <m/>
    <x v="9"/>
    <s v="A-493-0103"/>
    <s v="12JY"/>
    <x v="14"/>
    <d v="2026-07-27T00:00:00"/>
    <d v="2026-07-31T00:00:00"/>
    <d v="1899-12-30T08:00:00"/>
    <m/>
    <m/>
    <m/>
    <m/>
    <m/>
    <m/>
    <s v="SOH Contractor"/>
    <m/>
    <m/>
    <n v="25"/>
    <n v="40"/>
    <n v="5"/>
    <n v="7"/>
    <m/>
    <m/>
    <m/>
    <m/>
    <m/>
    <m/>
    <m/>
    <m/>
    <n v="458"/>
    <n v="1"/>
    <n v="1"/>
    <n v="1"/>
    <n v="0"/>
    <n v="40"/>
    <m/>
    <m/>
  </r>
  <r>
    <m/>
    <x v="9"/>
    <s v="A-493-0103"/>
    <s v="12JY"/>
    <x v="3"/>
    <d v="2026-08-03T00:00:00"/>
    <d v="2026-08-07T00:00:00"/>
    <d v="1899-12-30T08:00:00"/>
    <m/>
    <m/>
    <m/>
    <m/>
    <m/>
    <m/>
    <s v="SOH Contractor"/>
    <m/>
    <m/>
    <n v="25"/>
    <n v="40"/>
    <n v="5"/>
    <n v="476"/>
    <m/>
    <m/>
    <m/>
    <m/>
    <m/>
    <m/>
    <m/>
    <m/>
    <n v="465"/>
    <n v="1"/>
    <n v="1"/>
    <n v="1"/>
    <n v="0"/>
    <n v="40"/>
    <m/>
    <m/>
  </r>
  <r>
    <m/>
    <x v="9"/>
    <s v="A-493-0103"/>
    <s v="12JY"/>
    <x v="2"/>
    <d v="2026-08-10T00:00:00"/>
    <d v="2026-08-14T00:00:00"/>
    <d v="1899-12-30T08:00:00"/>
    <m/>
    <m/>
    <m/>
    <m/>
    <m/>
    <m/>
    <s v="SOH Contractor"/>
    <m/>
    <m/>
    <n v="25"/>
    <n v="40"/>
    <n v="5"/>
    <n v="84"/>
    <m/>
    <m/>
    <m/>
    <m/>
    <m/>
    <m/>
    <m/>
    <m/>
    <n v="472"/>
    <n v="1"/>
    <n v="1"/>
    <n v="1"/>
    <n v="0"/>
    <n v="40"/>
    <m/>
    <m/>
  </r>
  <r>
    <m/>
    <x v="9"/>
    <s v="A-493-0103"/>
    <s v="12JY"/>
    <x v="2"/>
    <d v="2026-08-17T00:00:00"/>
    <d v="2026-08-21T00:00:00"/>
    <d v="1899-12-30T08:00:00"/>
    <m/>
    <m/>
    <m/>
    <m/>
    <m/>
    <m/>
    <s v="SOH Contractor"/>
    <m/>
    <m/>
    <n v="25"/>
    <n v="40"/>
    <n v="5"/>
    <n v="84"/>
    <m/>
    <m/>
    <m/>
    <m/>
    <m/>
    <m/>
    <m/>
    <m/>
    <n v="479"/>
    <n v="1"/>
    <n v="1"/>
    <n v="1"/>
    <n v="0"/>
    <n v="40"/>
    <m/>
    <m/>
  </r>
  <r>
    <m/>
    <x v="9"/>
    <s v="A-493-0103"/>
    <s v="12JY"/>
    <x v="5"/>
    <d v="2026-08-17T00:00:00"/>
    <d v="2026-08-17T00:00:00"/>
    <d v="1899-12-30T08:00:00"/>
    <m/>
    <m/>
    <m/>
    <m/>
    <m/>
    <m/>
    <s v="SOH Contractor"/>
    <m/>
    <m/>
    <n v="25"/>
    <n v="40"/>
    <n v="5"/>
    <n v="429"/>
    <m/>
    <m/>
    <m/>
    <m/>
    <m/>
    <m/>
    <m/>
    <m/>
    <n v="475"/>
    <n v="1"/>
    <n v="1"/>
    <n v="1"/>
    <n v="0"/>
    <n v="40"/>
    <m/>
    <m/>
  </r>
  <r>
    <m/>
    <x v="9"/>
    <s v="A-493-0103"/>
    <s v="12JY"/>
    <x v="3"/>
    <d v="2026-09-14T00:00:00"/>
    <d v="2026-09-18T00:00:00"/>
    <d v="1899-12-30T08:00:00"/>
    <m/>
    <m/>
    <m/>
    <m/>
    <m/>
    <m/>
    <s v="SOH Contractor"/>
    <m/>
    <m/>
    <n v="25"/>
    <n v="40"/>
    <n v="5"/>
    <n v="476"/>
    <m/>
    <m/>
    <m/>
    <m/>
    <m/>
    <m/>
    <m/>
    <m/>
    <n v="507"/>
    <n v="1"/>
    <n v="1"/>
    <n v="1"/>
    <n v="0"/>
    <n v="40"/>
    <m/>
    <m/>
  </r>
  <r>
    <m/>
    <x v="9"/>
    <s v="A-493-0103"/>
    <s v="12JY"/>
    <x v="15"/>
    <d v="2026-09-14T00:00:00"/>
    <d v="2026-09-18T00:00:00"/>
    <d v="1899-12-30T08:00:00"/>
    <m/>
    <m/>
    <m/>
    <m/>
    <m/>
    <m/>
    <s v="SOH Contractor"/>
    <m/>
    <m/>
    <n v="25"/>
    <n v="40"/>
    <n v="5"/>
    <n v="107"/>
    <m/>
    <m/>
    <m/>
    <m/>
    <m/>
    <m/>
    <m/>
    <m/>
    <n v="507"/>
    <n v="1"/>
    <n v="1"/>
    <n v="1"/>
    <n v="0"/>
    <n v="40"/>
    <m/>
    <m/>
  </r>
  <r>
    <m/>
    <x v="9"/>
    <s v="A-493-0103"/>
    <s v="12JY"/>
    <x v="15"/>
    <d v="2026-09-21T00:00:00"/>
    <d v="2026-09-25T00:00:00"/>
    <d v="1899-12-30T08:00:00"/>
    <m/>
    <m/>
    <m/>
    <m/>
    <m/>
    <m/>
    <s v="SOH Contractor"/>
    <m/>
    <m/>
    <n v="25"/>
    <n v="40"/>
    <n v="5"/>
    <n v="107"/>
    <m/>
    <m/>
    <m/>
    <m/>
    <m/>
    <m/>
    <m/>
    <m/>
    <n v="514"/>
    <n v="1"/>
    <n v="1"/>
    <n v="1"/>
    <n v="0"/>
    <n v="40"/>
    <m/>
    <m/>
  </r>
  <r>
    <m/>
    <x v="10"/>
    <s v="A-493-0030"/>
    <s v="286X"/>
    <x v="3"/>
    <d v="2025-10-20T00:00:00"/>
    <d v="2025-10-24T00:00:00"/>
    <d v="1899-12-30T08:00:00"/>
    <m/>
    <m/>
    <m/>
    <m/>
    <m/>
    <m/>
    <s v="OH Contractor"/>
    <m/>
    <m/>
    <n v="25"/>
    <n v="40"/>
    <n v="5"/>
    <n v="195"/>
    <m/>
    <m/>
    <m/>
    <m/>
    <m/>
    <m/>
    <m/>
    <m/>
    <n v="178"/>
    <n v="1"/>
    <n v="1"/>
    <n v="1"/>
    <n v="0"/>
    <n v="40"/>
    <m/>
    <m/>
  </r>
  <r>
    <m/>
    <x v="10"/>
    <s v="A-493-0030"/>
    <s v="286X"/>
    <x v="9"/>
    <d v="2026-01-12T00:00:00"/>
    <d v="2026-01-16T00:00:00"/>
    <d v="1899-12-30T08:00:00"/>
    <m/>
    <m/>
    <m/>
    <m/>
    <m/>
    <m/>
    <s v="OH Contractor"/>
    <m/>
    <m/>
    <n v="25"/>
    <n v="40"/>
    <n v="5"/>
    <n v="43"/>
    <m/>
    <m/>
    <m/>
    <m/>
    <m/>
    <m/>
    <m/>
    <m/>
    <n v="262"/>
    <n v="1"/>
    <n v="1"/>
    <n v="1"/>
    <n v="0"/>
    <n v="40"/>
    <m/>
    <m/>
  </r>
  <r>
    <m/>
    <x v="10"/>
    <s v="A-493-0030"/>
    <s v="286X"/>
    <x v="0"/>
    <d v="2026-05-04T00:00:00"/>
    <d v="2026-05-08T00:00:00"/>
    <m/>
    <d v="1899-12-30T08:00:00"/>
    <m/>
    <m/>
    <m/>
    <m/>
    <m/>
    <s v="OH Contractor"/>
    <m/>
    <m/>
    <n v="25"/>
    <n v="40"/>
    <n v="5"/>
    <n v="0"/>
    <m/>
    <m/>
    <m/>
    <m/>
    <m/>
    <m/>
    <m/>
    <m/>
    <n v="374"/>
    <n v="1"/>
    <n v="1"/>
    <n v="1"/>
    <n v="0"/>
    <n v="40"/>
    <m/>
    <m/>
  </r>
  <r>
    <m/>
    <x v="10"/>
    <s v="A-493-0030"/>
    <s v="286X"/>
    <x v="16"/>
    <d v="2026-08-03T00:00:00"/>
    <d v="2026-08-07T00:00:00"/>
    <d v="1899-12-30T08:00:00"/>
    <m/>
    <m/>
    <m/>
    <m/>
    <m/>
    <m/>
    <s v="OH Contractor"/>
    <m/>
    <m/>
    <n v="25"/>
    <n v="40"/>
    <n v="5"/>
    <n v="94"/>
    <m/>
    <m/>
    <m/>
    <m/>
    <m/>
    <m/>
    <m/>
    <m/>
    <n v="465"/>
    <n v="1"/>
    <n v="1"/>
    <n v="1"/>
    <n v="0"/>
    <n v="40"/>
    <m/>
    <m/>
  </r>
  <r>
    <m/>
    <x v="10"/>
    <s v="A-493-0030"/>
    <s v="286X"/>
    <x v="5"/>
    <d v="2026-08-10T00:00:00"/>
    <d v="2026-08-14T00:00:00"/>
    <d v="1899-12-30T08:00:00"/>
    <m/>
    <m/>
    <m/>
    <m/>
    <m/>
    <m/>
    <s v="OH Contractor"/>
    <m/>
    <m/>
    <n v="25"/>
    <n v="40"/>
    <n v="5"/>
    <n v="85"/>
    <m/>
    <m/>
    <m/>
    <m/>
    <m/>
    <m/>
    <m/>
    <m/>
    <n v="472"/>
    <n v="1"/>
    <n v="1"/>
    <n v="1"/>
    <n v="0"/>
    <n v="40"/>
    <m/>
    <m/>
  </r>
  <r>
    <m/>
    <x v="11"/>
    <s v="A-493-0021"/>
    <s v="18BN"/>
    <x v="3"/>
    <d v="2026-04-13T00:00:00"/>
    <d v="2026-04-17T00:00:00"/>
    <d v="1899-12-30T08:00:00"/>
    <m/>
    <m/>
    <m/>
    <m/>
    <m/>
    <m/>
    <s v="SOH Contractor"/>
    <m/>
    <m/>
    <n v="35"/>
    <n v="30"/>
    <n v="5"/>
    <n v="33"/>
    <m/>
    <m/>
    <m/>
    <m/>
    <m/>
    <m/>
    <m/>
    <m/>
    <n v="353"/>
    <n v="1"/>
    <n v="1"/>
    <n v="1"/>
    <n v="0"/>
    <n v="30"/>
    <m/>
    <m/>
  </r>
  <r>
    <m/>
    <x v="11"/>
    <s v="A-493-0021"/>
    <s v="18BN"/>
    <x v="17"/>
    <d v="2026-05-11T00:00:00"/>
    <d v="2026-05-15T00:00:00"/>
    <d v="1899-12-30T08:00:00"/>
    <m/>
    <m/>
    <m/>
    <m/>
    <m/>
    <m/>
    <s v="SOH Contractor"/>
    <m/>
    <m/>
    <n v="35"/>
    <n v="30"/>
    <n v="5"/>
    <n v="8"/>
    <m/>
    <m/>
    <m/>
    <m/>
    <m/>
    <m/>
    <m/>
    <m/>
    <n v="381"/>
    <n v="1"/>
    <n v="1"/>
    <n v="1"/>
    <n v="0"/>
    <n v="30"/>
    <m/>
    <m/>
  </r>
  <r>
    <m/>
    <x v="11"/>
    <s v="A-493-0021"/>
    <s v="18BN"/>
    <x v="10"/>
    <d v="2026-06-22T00:00:00"/>
    <d v="2026-06-26T00:00:00"/>
    <d v="1899-12-30T08:00:00"/>
    <m/>
    <m/>
    <m/>
    <m/>
    <m/>
    <m/>
    <s v="SOH Contractor"/>
    <m/>
    <m/>
    <n v="35"/>
    <n v="30"/>
    <n v="5"/>
    <n v="20"/>
    <m/>
    <m/>
    <m/>
    <m/>
    <m/>
    <m/>
    <m/>
    <m/>
    <n v="423"/>
    <n v="1"/>
    <n v="1"/>
    <n v="1"/>
    <n v="0"/>
    <n v="30"/>
    <m/>
    <m/>
  </r>
  <r>
    <m/>
    <x v="11"/>
    <s v="A-493-0021"/>
    <s v="18BN"/>
    <x v="5"/>
    <d v="2026-07-20T00:00:00"/>
    <d v="2026-07-24T00:00:00"/>
    <d v="1899-12-30T08:00:00"/>
    <m/>
    <m/>
    <m/>
    <m/>
    <m/>
    <m/>
    <s v="SOH Contractor"/>
    <m/>
    <m/>
    <n v="35"/>
    <n v="30"/>
    <n v="5"/>
    <n v="11"/>
    <m/>
    <m/>
    <m/>
    <m/>
    <m/>
    <m/>
    <m/>
    <m/>
    <n v="451"/>
    <n v="1"/>
    <n v="1"/>
    <n v="1"/>
    <n v="0"/>
    <n v="30"/>
    <m/>
    <m/>
  </r>
  <r>
    <m/>
    <x v="11"/>
    <s v="A-493-0021"/>
    <s v="18BN"/>
    <x v="1"/>
    <d v="2026-09-14T00:00:00"/>
    <d v="2026-09-18T00:00:00"/>
    <d v="1899-12-30T08:00:00"/>
    <m/>
    <m/>
    <m/>
    <m/>
    <m/>
    <m/>
    <s v="SOH Contractor"/>
    <m/>
    <m/>
    <n v="35"/>
    <n v="30"/>
    <n v="5"/>
    <n v="33"/>
    <m/>
    <m/>
    <m/>
    <m/>
    <m/>
    <m/>
    <m/>
    <m/>
    <n v="507"/>
    <n v="1"/>
    <n v="1"/>
    <n v="1"/>
    <n v="0"/>
    <n v="30"/>
    <m/>
    <m/>
  </r>
  <r>
    <m/>
    <x v="12"/>
    <s v="A-760-2166"/>
    <s v="438J"/>
    <x v="1"/>
    <d v="2025-10-16T00:00:00"/>
    <d v="2025-10-17T00:00:00"/>
    <d v="1899-12-30T08:00:00"/>
    <m/>
    <m/>
    <m/>
    <m/>
    <m/>
    <m/>
    <s v="B. Jung"/>
    <s v="W. Mitchell"/>
    <m/>
    <n v="25"/>
    <n v="16"/>
    <n v="2"/>
    <n v="13"/>
    <m/>
    <m/>
    <m/>
    <m/>
    <m/>
    <m/>
    <m/>
    <m/>
    <n v="171"/>
    <n v="1"/>
    <n v="1"/>
    <n v="1"/>
    <n v="1"/>
    <n v="8"/>
    <m/>
    <m/>
  </r>
  <r>
    <m/>
    <x v="12"/>
    <s v="A-760-2166"/>
    <s v="438J"/>
    <x v="2"/>
    <d v="2026-03-18T00:00:00"/>
    <d v="2026-03-19T00:00:00"/>
    <d v="1899-12-30T08:00:00"/>
    <m/>
    <m/>
    <m/>
    <m/>
    <m/>
    <m/>
    <s v="B. Jung"/>
    <s v="A. Harris"/>
    <m/>
    <n v="25"/>
    <n v="16"/>
    <n v="2"/>
    <n v="12"/>
    <m/>
    <m/>
    <m/>
    <m/>
    <m/>
    <m/>
    <m/>
    <m/>
    <n v="324"/>
    <n v="1"/>
    <n v="1"/>
    <n v="1"/>
    <n v="1"/>
    <n v="8"/>
    <m/>
    <m/>
  </r>
  <r>
    <m/>
    <x v="12"/>
    <s v="A-760-2166"/>
    <s v="438J"/>
    <x v="5"/>
    <d v="2026-08-03T00:00:00"/>
    <d v="2026-08-04T00:00:00"/>
    <d v="1899-12-30T08:00:00"/>
    <m/>
    <m/>
    <m/>
    <m/>
    <m/>
    <m/>
    <s v="W. Mitchell"/>
    <m/>
    <m/>
    <n v="25"/>
    <n v="16"/>
    <n v="2"/>
    <n v="60"/>
    <m/>
    <m/>
    <m/>
    <m/>
    <m/>
    <m/>
    <m/>
    <m/>
    <n v="462"/>
    <n v="1"/>
    <n v="1"/>
    <n v="1"/>
    <n v="0"/>
    <n v="16"/>
    <m/>
    <m/>
  </r>
  <r>
    <m/>
    <x v="13"/>
    <s v="A-493-0099"/>
    <s v="12JW"/>
    <x v="0"/>
    <d v="2025-09-30T00:00:00"/>
    <d v="2025-10-02T00:00:00"/>
    <m/>
    <d v="1899-12-30T12:00:00"/>
    <m/>
    <m/>
    <m/>
    <m/>
    <m/>
    <s v="V. Kentish"/>
    <m/>
    <m/>
    <n v="45"/>
    <n v="24"/>
    <n v="3"/>
    <n v="1041"/>
    <m/>
    <m/>
    <m/>
    <m/>
    <m/>
    <m/>
    <m/>
    <m/>
    <n v="156"/>
    <n v="1"/>
    <n v="1"/>
    <n v="1"/>
    <n v="0"/>
    <n v="24"/>
    <m/>
    <m/>
  </r>
  <r>
    <m/>
    <x v="13"/>
    <s v="A-493-0099"/>
    <s v="12JW"/>
    <x v="0"/>
    <d v="2025-11-19T00:00:00"/>
    <d v="2025-11-21T00:00:00"/>
    <m/>
    <d v="1899-12-30T08:00:00"/>
    <m/>
    <m/>
    <m/>
    <m/>
    <m/>
    <s v="V. Kentish"/>
    <m/>
    <m/>
    <n v="45"/>
    <n v="24"/>
    <n v="3"/>
    <n v="334"/>
    <m/>
    <m/>
    <m/>
    <m/>
    <m/>
    <m/>
    <m/>
    <m/>
    <n v="206"/>
    <n v="1"/>
    <n v="1"/>
    <n v="1"/>
    <n v="0"/>
    <n v="24"/>
    <m/>
    <m/>
  </r>
  <r>
    <m/>
    <x v="13"/>
    <s v="A-493-0099"/>
    <s v="12JW"/>
    <x v="0"/>
    <d v="2025-12-03T00:00:00"/>
    <d v="2025-12-05T00:00:00"/>
    <m/>
    <d v="1899-12-30T08:00:00"/>
    <m/>
    <m/>
    <m/>
    <m/>
    <m/>
    <s v="V. Kentish"/>
    <m/>
    <m/>
    <n v="45"/>
    <n v="24"/>
    <n v="3"/>
    <n v="334"/>
    <m/>
    <m/>
    <m/>
    <m/>
    <m/>
    <m/>
    <m/>
    <m/>
    <n v="220"/>
    <n v="1"/>
    <n v="1"/>
    <n v="1"/>
    <n v="0"/>
    <n v="24"/>
    <m/>
    <m/>
  </r>
  <r>
    <m/>
    <x v="13"/>
    <s v="A-493-0099"/>
    <s v="12JW"/>
    <x v="0"/>
    <d v="2026-01-13T00:00:00"/>
    <d v="2026-01-15T00:00:00"/>
    <m/>
    <d v="1899-12-30T12:00:00"/>
    <m/>
    <m/>
    <m/>
    <m/>
    <m/>
    <s v="V. Kentish"/>
    <m/>
    <m/>
    <n v="45"/>
    <n v="24"/>
    <n v="3"/>
    <n v="1041"/>
    <m/>
    <m/>
    <m/>
    <m/>
    <m/>
    <m/>
    <m/>
    <m/>
    <n v="261"/>
    <n v="1"/>
    <n v="1"/>
    <n v="1"/>
    <n v="0"/>
    <n v="24"/>
    <m/>
    <m/>
  </r>
  <r>
    <m/>
    <x v="13"/>
    <s v="A-493-0099"/>
    <s v="12JW"/>
    <x v="0"/>
    <d v="2026-01-27T00:00:00"/>
    <d v="2026-01-29T00:00:00"/>
    <m/>
    <d v="1899-12-30T10:00:00"/>
    <m/>
    <m/>
    <m/>
    <m/>
    <m/>
    <s v="V. Kentish"/>
    <m/>
    <m/>
    <n v="45"/>
    <n v="24"/>
    <n v="3"/>
    <n v="934"/>
    <m/>
    <m/>
    <m/>
    <m/>
    <m/>
    <m/>
    <m/>
    <m/>
    <n v="275"/>
    <n v="1"/>
    <n v="1"/>
    <n v="1"/>
    <n v="0"/>
    <n v="24"/>
    <m/>
    <m/>
  </r>
  <r>
    <m/>
    <x v="13"/>
    <s v="A-493-0099"/>
    <s v="12JW"/>
    <x v="0"/>
    <d v="2026-02-04T00:00:00"/>
    <d v="2026-02-06T00:00:00"/>
    <m/>
    <d v="1899-12-30T07:00:00"/>
    <m/>
    <m/>
    <m/>
    <m/>
    <m/>
    <s v="V. Kentish"/>
    <m/>
    <m/>
    <n v="45"/>
    <n v="24"/>
    <n v="3"/>
    <n v="406"/>
    <m/>
    <m/>
    <m/>
    <m/>
    <m/>
    <m/>
    <m/>
    <m/>
    <n v="283"/>
    <n v="1"/>
    <n v="1"/>
    <n v="1"/>
    <n v="0"/>
    <n v="24"/>
    <m/>
    <m/>
  </r>
  <r>
    <m/>
    <x v="13"/>
    <s v="A-493-0099"/>
    <s v="12JW"/>
    <x v="0"/>
    <d v="2026-02-18T00:00:00"/>
    <d v="2026-02-20T00:00:00"/>
    <m/>
    <d v="1899-12-30T08:00:00"/>
    <m/>
    <m/>
    <m/>
    <m/>
    <m/>
    <s v="V. Kentish"/>
    <m/>
    <m/>
    <n v="45"/>
    <n v="24"/>
    <n v="3"/>
    <n v="334"/>
    <m/>
    <m/>
    <m/>
    <m/>
    <m/>
    <m/>
    <m/>
    <m/>
    <n v="297"/>
    <n v="1"/>
    <n v="1"/>
    <n v="1"/>
    <n v="0"/>
    <n v="24"/>
    <m/>
    <m/>
  </r>
  <r>
    <m/>
    <x v="13"/>
    <s v="A-493-0099"/>
    <s v="12JW"/>
    <x v="0"/>
    <d v="2026-03-03T00:00:00"/>
    <d v="2026-03-05T00:00:00"/>
    <m/>
    <d v="1899-12-30T11:00:00"/>
    <m/>
    <m/>
    <m/>
    <m/>
    <m/>
    <s v="V. Kentish"/>
    <m/>
    <m/>
    <n v="45"/>
    <n v="24"/>
    <n v="3"/>
    <n v="934"/>
    <m/>
    <m/>
    <m/>
    <m/>
    <m/>
    <m/>
    <m/>
    <m/>
    <n v="310"/>
    <n v="1"/>
    <n v="1"/>
    <n v="1"/>
    <n v="0"/>
    <n v="24"/>
    <m/>
    <m/>
  </r>
  <r>
    <m/>
    <x v="13"/>
    <s v="A-493-0099"/>
    <s v="12JW"/>
    <x v="0"/>
    <d v="2026-03-17T00:00:00"/>
    <d v="2026-03-19T00:00:00"/>
    <m/>
    <d v="1899-12-30T19:00:00"/>
    <m/>
    <m/>
    <m/>
    <m/>
    <m/>
    <s v="V. Kentish"/>
    <m/>
    <m/>
    <n v="45"/>
    <n v="24"/>
    <n v="3"/>
    <n v="224"/>
    <m/>
    <m/>
    <m/>
    <m/>
    <m/>
    <m/>
    <m/>
    <m/>
    <n v="324"/>
    <n v="1"/>
    <n v="1"/>
    <n v="1"/>
    <n v="0"/>
    <n v="24"/>
    <m/>
    <m/>
  </r>
  <r>
    <m/>
    <x v="13"/>
    <s v="A-493-0099"/>
    <s v="12JW"/>
    <x v="0"/>
    <d v="2026-04-01T00:00:00"/>
    <d v="2026-04-03T00:00:00"/>
    <m/>
    <d v="1899-12-30T07:00:00"/>
    <m/>
    <m/>
    <m/>
    <m/>
    <m/>
    <s v="V. Kentish"/>
    <m/>
    <m/>
    <n v="45"/>
    <n v="24"/>
    <n v="3"/>
    <n v="406"/>
    <m/>
    <m/>
    <m/>
    <m/>
    <m/>
    <m/>
    <m/>
    <m/>
    <n v="339"/>
    <n v="1"/>
    <n v="1"/>
    <n v="1"/>
    <n v="0"/>
    <n v="24"/>
    <m/>
    <m/>
  </r>
  <r>
    <m/>
    <x v="13"/>
    <s v="A-493-0099"/>
    <s v="12JW"/>
    <x v="0"/>
    <d v="2026-04-28T00:00:00"/>
    <d v="2026-04-30T00:00:00"/>
    <m/>
    <d v="1899-12-30T08:00:00"/>
    <m/>
    <m/>
    <m/>
    <m/>
    <m/>
    <s v="V. Kentish"/>
    <m/>
    <m/>
    <n v="45"/>
    <n v="24"/>
    <n v="3"/>
    <n v="334"/>
    <m/>
    <m/>
    <m/>
    <m/>
    <m/>
    <m/>
    <m/>
    <m/>
    <n v="366"/>
    <n v="1"/>
    <n v="1"/>
    <n v="1"/>
    <n v="0"/>
    <n v="24"/>
    <m/>
    <m/>
  </r>
  <r>
    <m/>
    <x v="13"/>
    <s v="A-493-0099"/>
    <s v="12JW"/>
    <x v="0"/>
    <d v="2026-05-13T00:00:00"/>
    <d v="2026-05-15T00:00:00"/>
    <m/>
    <d v="1899-12-30T11:00:00"/>
    <m/>
    <m/>
    <m/>
    <m/>
    <m/>
    <s v="V. Kentish"/>
    <m/>
    <m/>
    <n v="45"/>
    <n v="24"/>
    <n v="3"/>
    <n v="934"/>
    <m/>
    <m/>
    <m/>
    <m/>
    <m/>
    <m/>
    <m/>
    <m/>
    <n v="381"/>
    <n v="1"/>
    <n v="1"/>
    <n v="1"/>
    <n v="0"/>
    <n v="24"/>
    <m/>
    <m/>
  </r>
  <r>
    <m/>
    <x v="13"/>
    <s v="A-493-0099"/>
    <s v="12JW"/>
    <x v="0"/>
    <d v="2026-05-27T00:00:00"/>
    <d v="2026-05-29T00:00:00"/>
    <m/>
    <d v="1899-12-30T12:00:00"/>
    <m/>
    <m/>
    <m/>
    <m/>
    <m/>
    <s v="V. Kentish"/>
    <m/>
    <m/>
    <n v="45"/>
    <n v="24"/>
    <n v="3"/>
    <n v="1041"/>
    <m/>
    <m/>
    <m/>
    <m/>
    <m/>
    <m/>
    <m/>
    <m/>
    <n v="395"/>
    <n v="1"/>
    <n v="1"/>
    <n v="1"/>
    <n v="0"/>
    <n v="24"/>
    <m/>
    <m/>
  </r>
  <r>
    <m/>
    <x v="13"/>
    <s v="A-493-0099"/>
    <s v="12JW"/>
    <x v="0"/>
    <d v="2026-06-09T00:00:00"/>
    <d v="2026-06-11T00:00:00"/>
    <m/>
    <d v="1899-12-30T10:00:00"/>
    <m/>
    <m/>
    <m/>
    <m/>
    <m/>
    <s v="V. Kentish"/>
    <m/>
    <m/>
    <n v="45"/>
    <n v="24"/>
    <n v="3"/>
    <n v="934"/>
    <m/>
    <m/>
    <m/>
    <m/>
    <m/>
    <m/>
    <m/>
    <m/>
    <n v="408"/>
    <n v="1"/>
    <n v="1"/>
    <n v="1"/>
    <n v="0"/>
    <n v="24"/>
    <m/>
    <m/>
  </r>
  <r>
    <m/>
    <x v="13"/>
    <s v="A-493-0099"/>
    <s v="12JW"/>
    <x v="0"/>
    <d v="2026-06-24T00:00:00"/>
    <d v="2026-06-26T00:00:00"/>
    <m/>
    <d v="1899-12-30T07:00:00"/>
    <m/>
    <m/>
    <m/>
    <m/>
    <m/>
    <s v="V. Kentish"/>
    <m/>
    <m/>
    <n v="45"/>
    <n v="24"/>
    <n v="3"/>
    <n v="406"/>
    <m/>
    <m/>
    <m/>
    <m/>
    <m/>
    <m/>
    <m/>
    <m/>
    <n v="423"/>
    <n v="1"/>
    <n v="1"/>
    <n v="1"/>
    <n v="0"/>
    <n v="24"/>
    <m/>
    <m/>
  </r>
  <r>
    <m/>
    <x v="13"/>
    <s v="A-493-0099"/>
    <s v="12JW"/>
    <x v="0"/>
    <d v="2026-07-08T00:00:00"/>
    <d v="2026-07-10T00:00:00"/>
    <m/>
    <d v="1899-12-30T08:00:00"/>
    <m/>
    <m/>
    <m/>
    <m/>
    <m/>
    <s v="V. Kentish"/>
    <m/>
    <m/>
    <n v="45"/>
    <n v="24"/>
    <n v="3"/>
    <n v="334"/>
    <m/>
    <m/>
    <m/>
    <m/>
    <m/>
    <m/>
    <m/>
    <m/>
    <n v="437"/>
    <n v="1"/>
    <n v="1"/>
    <n v="1"/>
    <n v="0"/>
    <n v="24"/>
    <m/>
    <m/>
  </r>
  <r>
    <m/>
    <x v="13"/>
    <s v="A-493-0099"/>
    <s v="12JW"/>
    <x v="0"/>
    <d v="2026-07-22T00:00:00"/>
    <d v="2026-07-24T00:00:00"/>
    <m/>
    <d v="1899-12-30T12:00:00"/>
    <m/>
    <m/>
    <m/>
    <m/>
    <m/>
    <s v="V. Kentish"/>
    <m/>
    <m/>
    <n v="45"/>
    <n v="24"/>
    <n v="3"/>
    <n v="1041"/>
    <m/>
    <m/>
    <m/>
    <m/>
    <m/>
    <m/>
    <m/>
    <m/>
    <n v="451"/>
    <n v="1"/>
    <n v="1"/>
    <n v="1"/>
    <n v="0"/>
    <n v="24"/>
    <m/>
    <m/>
  </r>
  <r>
    <m/>
    <x v="13"/>
    <s v="A-493-0099"/>
    <s v="12JW"/>
    <x v="0"/>
    <d v="2026-08-04T00:00:00"/>
    <d v="2026-08-06T00:00:00"/>
    <m/>
    <d v="1899-12-30T10:00:00"/>
    <m/>
    <m/>
    <m/>
    <m/>
    <m/>
    <s v="V. Kentish"/>
    <m/>
    <m/>
    <n v="45"/>
    <n v="24"/>
    <n v="3"/>
    <n v="934"/>
    <m/>
    <m/>
    <m/>
    <m/>
    <m/>
    <m/>
    <m/>
    <m/>
    <n v="464"/>
    <n v="1"/>
    <n v="1"/>
    <n v="1"/>
    <n v="0"/>
    <n v="24"/>
    <m/>
    <m/>
  </r>
  <r>
    <m/>
    <x v="13"/>
    <s v="A-493-0099"/>
    <s v="12JW"/>
    <x v="0"/>
    <d v="2026-08-18T00:00:00"/>
    <d v="2026-08-20T00:00:00"/>
    <m/>
    <d v="1899-12-30T11:00:00"/>
    <m/>
    <m/>
    <m/>
    <m/>
    <m/>
    <s v="V. Kentish"/>
    <m/>
    <m/>
    <n v="45"/>
    <n v="24"/>
    <n v="3"/>
    <n v="934"/>
    <m/>
    <m/>
    <m/>
    <m/>
    <m/>
    <m/>
    <m/>
    <m/>
    <n v="478"/>
    <n v="1"/>
    <n v="1"/>
    <n v="1"/>
    <n v="0"/>
    <n v="24"/>
    <m/>
    <m/>
  </r>
  <r>
    <m/>
    <x v="13"/>
    <s v="A-493-0099"/>
    <s v="12JW"/>
    <x v="0"/>
    <d v="2026-09-02T00:00:00"/>
    <d v="2026-09-04T00:00:00"/>
    <m/>
    <d v="1899-12-30T19:00:00"/>
    <m/>
    <m/>
    <m/>
    <m/>
    <m/>
    <s v="V. Kentish"/>
    <m/>
    <m/>
    <n v="45"/>
    <n v="24"/>
    <n v="3"/>
    <n v="224"/>
    <m/>
    <m/>
    <m/>
    <m/>
    <m/>
    <m/>
    <m/>
    <m/>
    <n v="493"/>
    <n v="1"/>
    <n v="1"/>
    <n v="1"/>
    <n v="0"/>
    <n v="24"/>
    <m/>
    <m/>
  </r>
  <r>
    <m/>
    <x v="13"/>
    <s v="A-493-0099"/>
    <s v="12JW"/>
    <x v="0"/>
    <d v="2026-09-16T00:00:00"/>
    <d v="2026-09-18T00:00:00"/>
    <m/>
    <d v="1899-12-30T08:00:00"/>
    <m/>
    <m/>
    <m/>
    <m/>
    <m/>
    <s v="V. Kentish"/>
    <m/>
    <m/>
    <n v="45"/>
    <n v="24"/>
    <n v="3"/>
    <n v="334"/>
    <m/>
    <m/>
    <m/>
    <m/>
    <m/>
    <m/>
    <m/>
    <m/>
    <n v="507"/>
    <n v="1"/>
    <n v="1"/>
    <n v="1"/>
    <n v="0"/>
    <n v="24"/>
    <m/>
    <m/>
  </r>
  <r>
    <m/>
    <x v="14"/>
    <s v="A-493-0061"/>
    <s v="288E"/>
    <x v="0"/>
    <d v="2025-10-06T00:00:00"/>
    <d v="2025-10-09T00:00:00"/>
    <m/>
    <d v="1899-12-30T08:00:00"/>
    <m/>
    <m/>
    <m/>
    <m/>
    <m/>
    <s v="S. Griffin"/>
    <m/>
    <m/>
    <n v="45"/>
    <n v="30"/>
    <n v="4"/>
    <n v="336"/>
    <m/>
    <m/>
    <m/>
    <m/>
    <m/>
    <m/>
    <m/>
    <m/>
    <n v="163"/>
    <n v="1"/>
    <n v="1"/>
    <n v="1"/>
    <n v="0"/>
    <n v="30"/>
    <m/>
    <m/>
  </r>
  <r>
    <m/>
    <x v="14"/>
    <s v="A-493-0061"/>
    <s v="288E"/>
    <x v="0"/>
    <d v="2025-10-27T00:00:00"/>
    <d v="2025-10-30T00:00:00"/>
    <m/>
    <d v="1899-12-30T10:00:00"/>
    <m/>
    <m/>
    <m/>
    <m/>
    <m/>
    <s v="S. Griffin"/>
    <m/>
    <m/>
    <n v="45"/>
    <n v="30"/>
    <n v="4"/>
    <n v="620"/>
    <m/>
    <m/>
    <m/>
    <m/>
    <m/>
    <m/>
    <m/>
    <m/>
    <n v="184"/>
    <n v="1"/>
    <n v="1"/>
    <n v="1"/>
    <n v="0"/>
    <n v="30"/>
    <m/>
    <m/>
  </r>
  <r>
    <m/>
    <x v="14"/>
    <s v="A-493-0061"/>
    <s v="288E"/>
    <x v="0"/>
    <d v="2025-11-17T00:00:00"/>
    <d v="2025-11-20T00:00:00"/>
    <m/>
    <d v="1899-12-30T07:00:00"/>
    <m/>
    <m/>
    <m/>
    <m/>
    <m/>
    <s v="S. Griffin"/>
    <m/>
    <m/>
    <n v="45"/>
    <n v="30"/>
    <n v="4"/>
    <n v="429"/>
    <m/>
    <m/>
    <m/>
    <m/>
    <m/>
    <m/>
    <m/>
    <m/>
    <n v="205"/>
    <n v="1"/>
    <n v="1"/>
    <n v="1"/>
    <n v="0"/>
    <n v="30"/>
    <m/>
    <m/>
  </r>
  <r>
    <m/>
    <x v="14"/>
    <s v="A-493-0061"/>
    <s v="288E"/>
    <x v="0"/>
    <d v="2025-12-01T00:00:00"/>
    <d v="2025-12-04T00:00:00"/>
    <m/>
    <d v="1899-12-30T12:00:00"/>
    <m/>
    <m/>
    <m/>
    <m/>
    <m/>
    <s v="S. Griffin"/>
    <m/>
    <m/>
    <n v="45"/>
    <n v="30"/>
    <n v="4"/>
    <n v="682"/>
    <m/>
    <m/>
    <m/>
    <m/>
    <m/>
    <m/>
    <m/>
    <m/>
    <n v="219"/>
    <n v="1"/>
    <n v="1"/>
    <n v="1"/>
    <n v="0"/>
    <n v="30"/>
    <m/>
    <m/>
  </r>
  <r>
    <m/>
    <x v="14"/>
    <s v="A-493-0061"/>
    <s v="288E"/>
    <x v="0"/>
    <d v="2025-12-15T00:00:00"/>
    <d v="2025-12-19T00:00:00"/>
    <m/>
    <d v="1899-12-30T19:00:00"/>
    <m/>
    <m/>
    <m/>
    <m/>
    <m/>
    <s v="S. Griffin"/>
    <m/>
    <m/>
    <n v="45"/>
    <n v="30"/>
    <n v="4"/>
    <n v="187"/>
    <m/>
    <m/>
    <m/>
    <m/>
    <m/>
    <m/>
    <m/>
    <m/>
    <n v="234"/>
    <n v="1"/>
    <n v="1"/>
    <n v="1"/>
    <n v="0"/>
    <n v="30"/>
    <m/>
    <m/>
  </r>
  <r>
    <m/>
    <x v="14"/>
    <s v="A-493-0061"/>
    <s v="288E"/>
    <x v="0"/>
    <d v="2026-01-12T00:00:00"/>
    <d v="2026-01-15T00:00:00"/>
    <m/>
    <d v="1899-12-30T08:00:00"/>
    <m/>
    <m/>
    <m/>
    <m/>
    <m/>
    <s v="S. Griffin"/>
    <m/>
    <m/>
    <n v="45"/>
    <n v="30"/>
    <n v="4"/>
    <n v="336"/>
    <m/>
    <m/>
    <m/>
    <m/>
    <m/>
    <m/>
    <m/>
    <m/>
    <n v="261"/>
    <n v="1"/>
    <n v="1"/>
    <n v="1"/>
    <n v="0"/>
    <n v="30"/>
    <m/>
    <m/>
  </r>
  <r>
    <m/>
    <x v="14"/>
    <s v="A-493-0061"/>
    <s v="288E"/>
    <x v="0"/>
    <d v="2026-01-26T00:00:00"/>
    <d v="2026-01-29T00:00:00"/>
    <m/>
    <d v="1899-12-30T10:00:00"/>
    <m/>
    <m/>
    <m/>
    <m/>
    <m/>
    <s v="S. Griffin"/>
    <m/>
    <m/>
    <n v="45"/>
    <n v="30"/>
    <n v="4"/>
    <n v="620"/>
    <m/>
    <m/>
    <m/>
    <m/>
    <m/>
    <m/>
    <m/>
    <m/>
    <n v="275"/>
    <n v="1"/>
    <n v="1"/>
    <n v="1"/>
    <n v="0"/>
    <n v="30"/>
    <m/>
    <m/>
  </r>
  <r>
    <m/>
    <x v="14"/>
    <s v="A-493-0061"/>
    <s v="288E"/>
    <x v="0"/>
    <d v="2026-02-09T00:00:00"/>
    <d v="2026-02-12T00:00:00"/>
    <m/>
    <d v="1899-12-30T08:00:00"/>
    <m/>
    <m/>
    <m/>
    <m/>
    <m/>
    <s v="S. Griffin"/>
    <m/>
    <m/>
    <n v="45"/>
    <n v="30"/>
    <n v="4"/>
    <n v="336"/>
    <m/>
    <m/>
    <m/>
    <m/>
    <m/>
    <m/>
    <m/>
    <m/>
    <n v="289"/>
    <n v="1"/>
    <n v="1"/>
    <n v="1"/>
    <n v="0"/>
    <n v="30"/>
    <m/>
    <m/>
  </r>
  <r>
    <m/>
    <x v="14"/>
    <s v="A-493-0061"/>
    <s v="288E"/>
    <x v="0"/>
    <d v="2026-02-23T00:00:00"/>
    <d v="2026-02-26T00:00:00"/>
    <m/>
    <d v="1899-12-30T07:00:00"/>
    <m/>
    <m/>
    <m/>
    <m/>
    <m/>
    <s v="S. Griffin"/>
    <m/>
    <m/>
    <n v="45"/>
    <n v="30"/>
    <n v="4"/>
    <n v="429"/>
    <m/>
    <m/>
    <m/>
    <m/>
    <m/>
    <m/>
    <m/>
    <m/>
    <n v="303"/>
    <n v="1"/>
    <n v="1"/>
    <n v="1"/>
    <n v="0"/>
    <n v="30"/>
    <m/>
    <m/>
  </r>
  <r>
    <m/>
    <x v="14"/>
    <s v="A-493-0061"/>
    <s v="288E"/>
    <x v="0"/>
    <d v="2026-03-09T00:00:00"/>
    <d v="2026-03-12T00:00:00"/>
    <m/>
    <d v="1899-12-30T11:00:00"/>
    <m/>
    <m/>
    <m/>
    <m/>
    <m/>
    <s v="S. Griffin"/>
    <m/>
    <m/>
    <n v="45"/>
    <n v="30"/>
    <n v="4"/>
    <n v="620"/>
    <m/>
    <m/>
    <m/>
    <m/>
    <m/>
    <m/>
    <m/>
    <m/>
    <n v="317"/>
    <n v="1"/>
    <n v="1"/>
    <n v="1"/>
    <n v="0"/>
    <n v="30"/>
    <m/>
    <m/>
  </r>
  <r>
    <m/>
    <x v="14"/>
    <s v="A-493-0061"/>
    <s v="288E"/>
    <x v="0"/>
    <d v="2026-03-23T00:00:00"/>
    <d v="2026-03-26T00:00:00"/>
    <m/>
    <d v="1899-12-30T08:00:00"/>
    <m/>
    <m/>
    <m/>
    <m/>
    <m/>
    <s v="S. Griffin"/>
    <m/>
    <m/>
    <n v="45"/>
    <n v="30"/>
    <n v="4"/>
    <n v="336"/>
    <m/>
    <m/>
    <m/>
    <m/>
    <m/>
    <m/>
    <m/>
    <m/>
    <n v="331"/>
    <n v="1"/>
    <n v="1"/>
    <n v="1"/>
    <n v="0"/>
    <n v="30"/>
    <m/>
    <m/>
  </r>
  <r>
    <m/>
    <x v="14"/>
    <s v="A-493-0061"/>
    <s v="288E"/>
    <x v="0"/>
    <d v="2026-05-04T00:00:00"/>
    <d v="2026-05-07T00:00:00"/>
    <m/>
    <d v="1899-12-30T12:00:00"/>
    <m/>
    <m/>
    <m/>
    <m/>
    <m/>
    <s v="S. Griffin"/>
    <m/>
    <m/>
    <n v="45"/>
    <n v="30"/>
    <n v="4"/>
    <n v="682"/>
    <m/>
    <m/>
    <m/>
    <m/>
    <m/>
    <m/>
    <m/>
    <m/>
    <n v="373"/>
    <n v="1"/>
    <n v="1"/>
    <n v="1"/>
    <n v="0"/>
    <n v="30"/>
    <m/>
    <m/>
  </r>
  <r>
    <m/>
    <x v="14"/>
    <s v="A-493-0061"/>
    <s v="288E"/>
    <x v="0"/>
    <d v="2026-05-18T00:00:00"/>
    <d v="2026-05-21T00:00:00"/>
    <m/>
    <d v="1899-12-30T07:00:00"/>
    <m/>
    <m/>
    <m/>
    <m/>
    <m/>
    <s v="S. Griffin"/>
    <m/>
    <m/>
    <n v="45"/>
    <n v="30"/>
    <n v="4"/>
    <n v="429"/>
    <m/>
    <m/>
    <m/>
    <m/>
    <m/>
    <m/>
    <m/>
    <m/>
    <n v="387"/>
    <n v="1"/>
    <n v="1"/>
    <n v="1"/>
    <n v="0"/>
    <n v="30"/>
    <m/>
    <m/>
  </r>
  <r>
    <m/>
    <x v="14"/>
    <s v="A-493-0061"/>
    <s v="288E"/>
    <x v="0"/>
    <d v="2026-06-01T00:00:00"/>
    <d v="2026-06-04T00:00:00"/>
    <m/>
    <d v="1899-12-30T19:00:00"/>
    <m/>
    <m/>
    <m/>
    <m/>
    <m/>
    <s v="S. Griffin"/>
    <m/>
    <m/>
    <n v="45"/>
    <n v="30"/>
    <n v="4"/>
    <n v="187"/>
    <m/>
    <m/>
    <m/>
    <m/>
    <m/>
    <m/>
    <m/>
    <m/>
    <n v="401"/>
    <n v="1"/>
    <n v="1"/>
    <n v="1"/>
    <n v="0"/>
    <n v="30"/>
    <m/>
    <m/>
  </r>
  <r>
    <m/>
    <x v="14"/>
    <s v="A-493-0061"/>
    <s v="288E"/>
    <x v="0"/>
    <d v="2026-06-22T00:00:00"/>
    <d v="2026-06-25T00:00:00"/>
    <m/>
    <d v="1899-12-30T10:00:00"/>
    <m/>
    <m/>
    <m/>
    <m/>
    <m/>
    <s v="S. Griffin"/>
    <m/>
    <m/>
    <n v="45"/>
    <n v="30"/>
    <n v="4"/>
    <n v="620"/>
    <m/>
    <m/>
    <m/>
    <m/>
    <m/>
    <m/>
    <m/>
    <m/>
    <n v="422"/>
    <n v="1"/>
    <n v="1"/>
    <n v="1"/>
    <n v="0"/>
    <n v="30"/>
    <m/>
    <m/>
  </r>
  <r>
    <m/>
    <x v="14"/>
    <s v="A-493-0061"/>
    <s v="288E"/>
    <x v="0"/>
    <d v="2026-07-13T00:00:00"/>
    <d v="2026-07-16T00:00:00"/>
    <m/>
    <d v="1899-12-30T08:00:00"/>
    <m/>
    <m/>
    <m/>
    <m/>
    <m/>
    <s v="S. Griffin"/>
    <m/>
    <m/>
    <n v="45"/>
    <n v="30"/>
    <n v="4"/>
    <n v="336"/>
    <m/>
    <m/>
    <m/>
    <m/>
    <m/>
    <m/>
    <m/>
    <m/>
    <n v="443"/>
    <n v="1"/>
    <n v="1"/>
    <n v="1"/>
    <n v="0"/>
    <n v="30"/>
    <m/>
    <m/>
  </r>
  <r>
    <m/>
    <x v="14"/>
    <s v="A-493-0061"/>
    <s v="288E"/>
    <x v="0"/>
    <d v="2026-07-27T00:00:00"/>
    <d v="2026-07-30T00:00:00"/>
    <m/>
    <d v="1899-12-30T12:00:00"/>
    <m/>
    <m/>
    <m/>
    <m/>
    <m/>
    <s v="S. Griffin"/>
    <m/>
    <m/>
    <n v="45"/>
    <n v="30"/>
    <n v="4"/>
    <n v="682"/>
    <m/>
    <m/>
    <m/>
    <m/>
    <m/>
    <m/>
    <m/>
    <m/>
    <n v="457"/>
    <n v="1"/>
    <n v="1"/>
    <n v="1"/>
    <n v="0"/>
    <n v="30"/>
    <m/>
    <m/>
  </r>
  <r>
    <m/>
    <x v="14"/>
    <s v="A-493-0061"/>
    <s v="288E"/>
    <x v="0"/>
    <d v="2026-08-10T00:00:00"/>
    <d v="2026-08-13T00:00:00"/>
    <m/>
    <d v="1899-12-30T07:00:00"/>
    <m/>
    <m/>
    <m/>
    <m/>
    <m/>
    <s v="S. Griffin"/>
    <m/>
    <m/>
    <n v="45"/>
    <n v="30"/>
    <n v="4"/>
    <n v="429"/>
    <m/>
    <m/>
    <m/>
    <m/>
    <m/>
    <m/>
    <m/>
    <m/>
    <n v="471"/>
    <n v="1"/>
    <n v="1"/>
    <n v="1"/>
    <n v="0"/>
    <n v="30"/>
    <m/>
    <m/>
  </r>
  <r>
    <m/>
    <x v="14"/>
    <s v="A-493-0061"/>
    <s v="288E"/>
    <x v="0"/>
    <d v="2026-08-24T00:00:00"/>
    <d v="2026-08-27T00:00:00"/>
    <m/>
    <d v="1899-12-30T10:00:00"/>
    <m/>
    <m/>
    <m/>
    <m/>
    <m/>
    <s v="S. Griffin"/>
    <m/>
    <m/>
    <n v="45"/>
    <n v="30"/>
    <n v="4"/>
    <n v="620"/>
    <m/>
    <m/>
    <m/>
    <m/>
    <m/>
    <m/>
    <m/>
    <m/>
    <n v="485"/>
    <n v="1"/>
    <n v="1"/>
    <n v="1"/>
    <n v="0"/>
    <n v="30"/>
    <m/>
    <m/>
  </r>
  <r>
    <m/>
    <x v="14"/>
    <s v="A-493-0061"/>
    <s v="288E"/>
    <x v="0"/>
    <d v="2026-09-14T00:00:00"/>
    <d v="2026-09-17T00:00:00"/>
    <m/>
    <d v="1899-12-30T08:00:00"/>
    <m/>
    <m/>
    <m/>
    <m/>
    <m/>
    <s v="S. Griffin"/>
    <m/>
    <m/>
    <n v="45"/>
    <n v="30"/>
    <n v="4"/>
    <n v="336"/>
    <m/>
    <m/>
    <m/>
    <m/>
    <m/>
    <m/>
    <m/>
    <m/>
    <n v="506"/>
    <n v="1"/>
    <n v="1"/>
    <n v="1"/>
    <n v="0"/>
    <n v="30"/>
    <m/>
    <m/>
  </r>
  <r>
    <m/>
    <x v="15"/>
    <s v="A-322-2604"/>
    <s v="10ZZ"/>
    <x v="0"/>
    <d v="2025-10-06T00:00:00"/>
    <d v="2025-10-08T00:00:00"/>
    <m/>
    <d v="1899-12-30T08:00:00"/>
    <m/>
    <m/>
    <m/>
    <m/>
    <m/>
    <s v="LS1 Scoggins"/>
    <m/>
    <m/>
    <n v="45"/>
    <n v="24"/>
    <n v="3"/>
    <n v="316"/>
    <m/>
    <m/>
    <m/>
    <m/>
    <m/>
    <m/>
    <m/>
    <m/>
    <n v="162"/>
    <n v="1"/>
    <n v="1"/>
    <n v="1"/>
    <n v="0"/>
    <n v="24"/>
    <m/>
    <m/>
  </r>
  <r>
    <m/>
    <x v="15"/>
    <s v="A-322-2604"/>
    <s v="10ZZ"/>
    <x v="0"/>
    <d v="2025-10-20T00:00:00"/>
    <d v="2025-10-22T00:00:00"/>
    <m/>
    <d v="1899-12-30T19:00:00"/>
    <m/>
    <m/>
    <m/>
    <m/>
    <m/>
    <s v="LS1 Scoggins"/>
    <m/>
    <m/>
    <n v="45"/>
    <n v="24"/>
    <n v="3"/>
    <n v="174"/>
    <m/>
    <m/>
    <m/>
    <m/>
    <m/>
    <m/>
    <m/>
    <m/>
    <n v="176"/>
    <n v="1"/>
    <n v="1"/>
    <n v="1"/>
    <n v="0"/>
    <n v="24"/>
    <m/>
    <m/>
  </r>
  <r>
    <m/>
    <x v="15"/>
    <s v="A-322-2604"/>
    <s v="10ZZ"/>
    <x v="0"/>
    <d v="2025-11-03T00:00:00"/>
    <d v="2025-11-05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190"/>
    <n v="1"/>
    <n v="1"/>
    <n v="1"/>
    <n v="0"/>
    <n v="24"/>
    <m/>
    <m/>
  </r>
  <r>
    <m/>
    <x v="15"/>
    <s v="A-322-2604"/>
    <s v="10ZZ"/>
    <x v="0"/>
    <d v="2025-11-17T00:00:00"/>
    <d v="2025-11-19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204"/>
    <n v="1"/>
    <n v="1"/>
    <n v="1"/>
    <n v="0"/>
    <n v="24"/>
    <m/>
    <m/>
  </r>
  <r>
    <m/>
    <x v="15"/>
    <s v="A-322-2604"/>
    <s v="10ZZ"/>
    <x v="0"/>
    <d v="2025-12-01T00:00:00"/>
    <d v="2025-12-03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218"/>
    <n v="1"/>
    <n v="1"/>
    <n v="1"/>
    <n v="0"/>
    <n v="24"/>
    <m/>
    <m/>
  </r>
  <r>
    <m/>
    <x v="15"/>
    <s v="A-322-2604"/>
    <s v="10ZZ"/>
    <x v="0"/>
    <d v="2026-01-05T00:00:00"/>
    <d v="2026-01-07T00:00:00"/>
    <m/>
    <d v="1899-12-30T08:00:00"/>
    <m/>
    <m/>
    <m/>
    <m/>
    <m/>
    <s v="LS1 Scoggins"/>
    <m/>
    <m/>
    <n v="45"/>
    <n v="24"/>
    <n v="3"/>
    <n v="316"/>
    <m/>
    <m/>
    <m/>
    <m/>
    <m/>
    <m/>
    <m/>
    <m/>
    <n v="253"/>
    <n v="1"/>
    <n v="1"/>
    <n v="1"/>
    <n v="0"/>
    <n v="24"/>
    <m/>
    <m/>
  </r>
  <r>
    <m/>
    <x v="15"/>
    <s v="A-322-2604"/>
    <s v="10ZZ"/>
    <x v="0"/>
    <d v="2026-01-26T00:00:00"/>
    <d v="2026-01-28T00:00:00"/>
    <m/>
    <d v="1899-12-30T19:00:00"/>
    <m/>
    <m/>
    <m/>
    <m/>
    <m/>
    <s v="LS1 Scoggins"/>
    <m/>
    <m/>
    <n v="45"/>
    <n v="24"/>
    <n v="3"/>
    <n v="174"/>
    <m/>
    <m/>
    <m/>
    <m/>
    <m/>
    <m/>
    <m/>
    <m/>
    <n v="274"/>
    <n v="1"/>
    <n v="1"/>
    <n v="1"/>
    <n v="0"/>
    <n v="24"/>
    <m/>
    <m/>
  </r>
  <r>
    <m/>
    <x v="15"/>
    <s v="A-322-2604"/>
    <s v="10ZZ"/>
    <x v="0"/>
    <d v="2026-02-09T00:00:00"/>
    <d v="2026-02-11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288"/>
    <n v="1"/>
    <n v="1"/>
    <n v="1"/>
    <n v="0"/>
    <n v="24"/>
    <m/>
    <m/>
  </r>
  <r>
    <m/>
    <x v="15"/>
    <s v="A-322-2604"/>
    <s v="10ZZ"/>
    <x v="0"/>
    <d v="2026-02-23T00:00:00"/>
    <d v="2026-02-25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302"/>
    <n v="1"/>
    <n v="1"/>
    <n v="1"/>
    <n v="0"/>
    <n v="24"/>
    <m/>
    <m/>
  </r>
  <r>
    <m/>
    <x v="15"/>
    <s v="A-322-2604"/>
    <s v="10ZZ"/>
    <x v="0"/>
    <d v="2026-03-09T00:00:00"/>
    <d v="2026-03-11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316"/>
    <n v="1"/>
    <n v="1"/>
    <n v="1"/>
    <n v="0"/>
    <n v="24"/>
    <m/>
    <m/>
  </r>
  <r>
    <m/>
    <x v="15"/>
    <s v="A-322-2604"/>
    <s v="10ZZ"/>
    <x v="0"/>
    <d v="2026-03-23T00:00:00"/>
    <d v="2026-03-25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330"/>
    <n v="1"/>
    <n v="1"/>
    <n v="1"/>
    <n v="0"/>
    <n v="24"/>
    <m/>
    <m/>
  </r>
  <r>
    <m/>
    <x v="15"/>
    <s v="A-322-2604"/>
    <s v="10ZZ"/>
    <x v="0"/>
    <d v="2026-04-06T00:00:00"/>
    <d v="2026-04-08T00:00:00"/>
    <m/>
    <d v="1899-12-30T08:00:00"/>
    <m/>
    <m/>
    <m/>
    <m/>
    <m/>
    <s v="LS1 Scoggins"/>
    <m/>
    <m/>
    <n v="45"/>
    <n v="24"/>
    <n v="3"/>
    <n v="316"/>
    <m/>
    <m/>
    <m/>
    <m/>
    <m/>
    <m/>
    <m/>
    <m/>
    <n v="344"/>
    <n v="1"/>
    <n v="1"/>
    <n v="1"/>
    <n v="0"/>
    <n v="24"/>
    <m/>
    <m/>
  </r>
  <r>
    <m/>
    <x v="15"/>
    <s v="A-322-2604"/>
    <s v="10ZZ"/>
    <x v="0"/>
    <d v="2026-05-04T00:00:00"/>
    <d v="2026-05-06T00:00:00"/>
    <m/>
    <d v="1899-12-30T19:00:00"/>
    <m/>
    <m/>
    <m/>
    <m/>
    <m/>
    <s v="LS1 Scoggins"/>
    <m/>
    <m/>
    <n v="45"/>
    <n v="24"/>
    <n v="3"/>
    <n v="174"/>
    <m/>
    <m/>
    <m/>
    <m/>
    <m/>
    <m/>
    <m/>
    <m/>
    <n v="372"/>
    <n v="1"/>
    <n v="1"/>
    <n v="1"/>
    <n v="0"/>
    <n v="24"/>
    <m/>
    <m/>
  </r>
  <r>
    <m/>
    <x v="15"/>
    <s v="A-322-2604"/>
    <s v="10ZZ"/>
    <x v="0"/>
    <d v="2026-05-18T00:00:00"/>
    <d v="2026-05-20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386"/>
    <n v="1"/>
    <n v="1"/>
    <n v="1"/>
    <n v="0"/>
    <n v="24"/>
    <m/>
    <m/>
  </r>
  <r>
    <m/>
    <x v="15"/>
    <s v="A-322-2604"/>
    <s v="10ZZ"/>
    <x v="0"/>
    <d v="2026-06-01T00:00:00"/>
    <d v="2026-06-03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400"/>
    <n v="1"/>
    <n v="1"/>
    <n v="1"/>
    <n v="0"/>
    <n v="24"/>
    <m/>
    <m/>
  </r>
  <r>
    <m/>
    <x v="15"/>
    <s v="A-322-2604"/>
    <s v="10ZZ"/>
    <x v="0"/>
    <d v="2026-06-15T00:00:00"/>
    <d v="2026-06-17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414"/>
    <n v="1"/>
    <n v="1"/>
    <n v="1"/>
    <n v="0"/>
    <n v="24"/>
    <m/>
    <m/>
  </r>
  <r>
    <m/>
    <x v="15"/>
    <s v="A-322-2604"/>
    <s v="10ZZ"/>
    <x v="0"/>
    <d v="2026-06-29T00:00:00"/>
    <d v="2026-07-01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428"/>
    <n v="1"/>
    <n v="1"/>
    <n v="1"/>
    <n v="0"/>
    <n v="24"/>
    <m/>
    <m/>
  </r>
  <r>
    <m/>
    <x v="15"/>
    <s v="A-322-2604"/>
    <s v="10ZZ"/>
    <x v="0"/>
    <d v="2026-07-13T00:00:00"/>
    <d v="2026-07-15T00:00:00"/>
    <m/>
    <d v="1899-12-30T08:00:00"/>
    <m/>
    <m/>
    <m/>
    <m/>
    <m/>
    <s v="LS1 Scoggins"/>
    <m/>
    <m/>
    <n v="45"/>
    <n v="24"/>
    <n v="3"/>
    <n v="316"/>
    <m/>
    <m/>
    <m/>
    <m/>
    <m/>
    <m/>
    <m/>
    <m/>
    <n v="442"/>
    <n v="1"/>
    <n v="1"/>
    <n v="1"/>
    <n v="0"/>
    <n v="24"/>
    <m/>
    <m/>
  </r>
  <r>
    <m/>
    <x v="15"/>
    <s v="A-322-2604"/>
    <s v="10ZZ"/>
    <x v="0"/>
    <d v="2026-08-04T00:00:00"/>
    <d v="2026-08-06T00:00:00"/>
    <m/>
    <d v="1899-12-30T19:00:00"/>
    <m/>
    <m/>
    <m/>
    <m/>
    <m/>
    <s v="LS1 Scoggins"/>
    <m/>
    <m/>
    <n v="45"/>
    <n v="24"/>
    <n v="3"/>
    <n v="174"/>
    <m/>
    <m/>
    <m/>
    <m/>
    <m/>
    <m/>
    <m/>
    <m/>
    <n v="464"/>
    <n v="1"/>
    <n v="1"/>
    <n v="1"/>
    <n v="0"/>
    <n v="24"/>
    <m/>
    <m/>
  </r>
  <r>
    <m/>
    <x v="15"/>
    <s v="A-322-2604"/>
    <s v="10ZZ"/>
    <x v="0"/>
    <d v="2026-09-08T00:00:00"/>
    <d v="2026-09-10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499"/>
    <n v="1"/>
    <n v="1"/>
    <n v="1"/>
    <n v="0"/>
    <n v="24"/>
    <m/>
    <m/>
  </r>
  <r>
    <m/>
    <x v="16"/>
    <s v="A-493-0077"/>
    <s v="0381"/>
    <x v="1"/>
    <d v="2026-05-04T00:00:00"/>
    <d v="2026-05-06T00:00:00"/>
    <d v="1902-03-10T08:00:00"/>
    <m/>
    <m/>
    <m/>
    <m/>
    <m/>
    <m/>
    <s v="ENV Contractor"/>
    <m/>
    <m/>
    <n v="25"/>
    <n v="24"/>
    <n v="3"/>
    <m/>
    <m/>
    <m/>
    <m/>
    <m/>
    <m/>
    <m/>
    <m/>
    <m/>
    <n v="372"/>
    <n v="1"/>
    <n v="1"/>
    <n v="1"/>
    <n v="0"/>
    <n v="24"/>
    <m/>
    <m/>
  </r>
  <r>
    <m/>
    <x v="16"/>
    <s v="A-493-0077"/>
    <s v="0381"/>
    <x v="3"/>
    <d v="2026-08-17T00:00:00"/>
    <d v="2026-08-19T00:00:00"/>
    <d v="1902-03-10T08:00:00"/>
    <m/>
    <m/>
    <m/>
    <m/>
    <m/>
    <m/>
    <s v="ENV Contractor"/>
    <m/>
    <m/>
    <n v="25"/>
    <n v="24"/>
    <n v="3"/>
    <m/>
    <m/>
    <m/>
    <m/>
    <m/>
    <m/>
    <m/>
    <m/>
    <m/>
    <n v="477"/>
    <n v="1"/>
    <n v="1"/>
    <n v="1"/>
    <n v="0"/>
    <n v="24"/>
    <m/>
    <m/>
  </r>
  <r>
    <m/>
    <x v="17"/>
    <s v="A-493-0083"/>
    <s v="339E"/>
    <x v="1"/>
    <d v="2026-05-07T00:00:00"/>
    <d v="2026-05-07T00:00:00"/>
    <d v="1902-03-10T08:00:00"/>
    <m/>
    <m/>
    <m/>
    <m/>
    <m/>
    <m/>
    <s v="ENV Contractor"/>
    <m/>
    <m/>
    <n v="30"/>
    <n v="8"/>
    <n v="1"/>
    <m/>
    <m/>
    <m/>
    <m/>
    <m/>
    <m/>
    <m/>
    <m/>
    <m/>
    <n v="373"/>
    <n v="1"/>
    <n v="1"/>
    <n v="1"/>
    <n v="0"/>
    <n v="8"/>
    <m/>
    <m/>
  </r>
  <r>
    <m/>
    <x v="17"/>
    <s v="A-493-0083"/>
    <s v="339E"/>
    <x v="3"/>
    <d v="2026-08-20T00:00:00"/>
    <d v="2026-08-20T00:00:00"/>
    <d v="1902-03-10T08:00:00"/>
    <m/>
    <m/>
    <m/>
    <m/>
    <m/>
    <m/>
    <s v="ENV Contractor"/>
    <m/>
    <m/>
    <n v="30"/>
    <n v="8"/>
    <n v="1"/>
    <m/>
    <m/>
    <m/>
    <m/>
    <m/>
    <m/>
    <m/>
    <m/>
    <m/>
    <n v="478"/>
    <n v="1"/>
    <n v="1"/>
    <n v="1"/>
    <n v="0"/>
    <n v="8"/>
    <m/>
    <m/>
  </r>
  <r>
    <s v="Columbus Day"/>
    <x v="18"/>
    <s v="Holiday"/>
    <s v="Holiday"/>
    <x v="18"/>
    <d v="2025-10-13T00:00:00"/>
    <d v="2025-10-13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167"/>
    <n v="0"/>
    <n v="0"/>
    <n v="0"/>
    <n v="0"/>
    <e v="#DIV/0!"/>
    <n v="0"/>
    <n v="1"/>
  </r>
  <r>
    <s v="Veterans Day"/>
    <x v="18"/>
    <s v="Holiday"/>
    <s v="Holiday"/>
    <x v="18"/>
    <d v="2025-11-11T00:00:00"/>
    <d v="2025-11-11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196"/>
    <n v="0"/>
    <n v="0"/>
    <n v="0"/>
    <n v="0"/>
    <e v="#DIV/0!"/>
    <n v="0"/>
    <n v="1"/>
  </r>
  <r>
    <s v="Thanksgiving"/>
    <x v="18"/>
    <s v="Holiday"/>
    <s v="Holiday"/>
    <x v="18"/>
    <d v="2025-11-27T00:00:00"/>
    <d v="2025-11-27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212"/>
    <n v="0"/>
    <n v="0"/>
    <n v="0"/>
    <n v="0"/>
    <e v="#DIV/0!"/>
    <n v="0"/>
    <n v="1"/>
  </r>
  <r>
    <s v="Christmas Day"/>
    <x v="18"/>
    <s v="Holiday"/>
    <s v="Holiday"/>
    <x v="18"/>
    <d v="2025-12-25T00:00:00"/>
    <d v="2025-12-25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240"/>
    <n v="0"/>
    <n v="0"/>
    <n v="0"/>
    <n v="0"/>
    <e v="#DIV/0!"/>
    <n v="0"/>
    <n v="1"/>
  </r>
  <r>
    <s v="New Year's Day"/>
    <x v="18"/>
    <s v="Holiday"/>
    <s v="Holiday"/>
    <x v="18"/>
    <d v="2026-01-01T00:00:00"/>
    <d v="2026-01-01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247"/>
    <n v="0"/>
    <n v="0"/>
    <n v="0"/>
    <n v="0"/>
    <e v="#DIV/0!"/>
    <n v="0"/>
    <n v="2"/>
  </r>
  <r>
    <s v="MLK Day"/>
    <x v="18"/>
    <s v="Holiday"/>
    <s v="Holiday"/>
    <x v="18"/>
    <d v="2026-01-19T00:00:00"/>
    <d v="2026-01-19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265"/>
    <n v="0"/>
    <n v="0"/>
    <n v="0"/>
    <n v="0"/>
    <e v="#DIV/0!"/>
    <n v="0"/>
    <n v="2"/>
  </r>
  <r>
    <s v="Washington's Birthday"/>
    <x v="18"/>
    <s v="Holiday"/>
    <s v="Holiday"/>
    <x v="18"/>
    <d v="2026-02-16T00:00:00"/>
    <d v="2026-02-16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293"/>
    <n v="0"/>
    <n v="1"/>
    <n v="1"/>
    <n v="0"/>
    <n v="0"/>
    <m/>
    <m/>
  </r>
  <r>
    <s v="Memorial Day"/>
    <x v="18"/>
    <s v="Holiday"/>
    <s v="Holiday"/>
    <x v="18"/>
    <d v="2026-05-25T00:00:00"/>
    <d v="2026-05-25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391"/>
    <n v="0"/>
    <n v="1"/>
    <n v="1"/>
    <n v="0"/>
    <n v="0"/>
    <m/>
    <m/>
  </r>
  <r>
    <s v="Juneteenth"/>
    <x v="18"/>
    <s v="Holiday"/>
    <s v="Holiday"/>
    <x v="18"/>
    <d v="2026-06-19T00:00:00"/>
    <d v="2026-06-19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416"/>
    <n v="0"/>
    <n v="1"/>
    <n v="1"/>
    <n v="0"/>
    <n v="0"/>
    <m/>
    <m/>
  </r>
  <r>
    <s v="Independence Day"/>
    <x v="18"/>
    <s v="Holiday"/>
    <s v="Holiday"/>
    <x v="18"/>
    <d v="2026-07-03T00:00:00"/>
    <d v="2026-07-03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430"/>
    <n v="0"/>
    <n v="1"/>
    <n v="1"/>
    <n v="0"/>
    <n v="0"/>
    <m/>
    <m/>
  </r>
  <r>
    <s v="Labor Day"/>
    <x v="18"/>
    <s v="Holiday"/>
    <s v="Holiday"/>
    <x v="18"/>
    <d v="2026-09-07T00:00:00"/>
    <d v="2026-09-07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496"/>
    <n v="0"/>
    <n v="1"/>
    <n v="1"/>
    <n v="0"/>
    <n v="0"/>
    <m/>
    <m/>
  </r>
  <r>
    <m/>
    <x v="19"/>
    <s v="A-493-0092"/>
    <n v="5891"/>
    <x v="9"/>
    <d v="2026-06-16T00:00:00"/>
    <d v="2026-06-18T00:00:00"/>
    <d v="1899-12-30T08:00:00"/>
    <m/>
    <m/>
    <m/>
    <m/>
    <m/>
    <m/>
    <s v="A. Harris"/>
    <m/>
    <s v="Nicole"/>
    <n v="25"/>
    <n v="24"/>
    <n v="3"/>
    <n v="49"/>
    <m/>
    <m/>
    <m/>
    <m/>
    <m/>
    <m/>
    <m/>
    <m/>
    <n v="415"/>
    <n v="1"/>
    <n v="1"/>
    <n v="1"/>
    <n v="0"/>
    <n v="24"/>
    <m/>
    <m/>
  </r>
  <r>
    <m/>
    <x v="19"/>
    <s v="A-493-0092"/>
    <n v="5891"/>
    <x v="3"/>
    <d v="2026-08-11T00:00:00"/>
    <d v="2026-08-13T00:00:00"/>
    <d v="1899-12-30T08:00:00"/>
    <m/>
    <m/>
    <m/>
    <m/>
    <m/>
    <m/>
    <s v="A. Harris"/>
    <m/>
    <m/>
    <n v="25"/>
    <n v="24"/>
    <n v="3"/>
    <n v="138"/>
    <m/>
    <m/>
    <m/>
    <m/>
    <m/>
    <m/>
    <m/>
    <m/>
    <n v="471"/>
    <n v="1"/>
    <n v="1"/>
    <n v="1"/>
    <n v="0"/>
    <n v="24"/>
    <m/>
    <m/>
  </r>
  <r>
    <m/>
    <x v="19"/>
    <s v="A-493-0092"/>
    <n v="5891"/>
    <x v="2"/>
    <d v="2026-09-09T00:00:00"/>
    <d v="2026-09-11T00:00:00"/>
    <d v="1899-12-30T08:00:00"/>
    <m/>
    <m/>
    <m/>
    <m/>
    <m/>
    <m/>
    <s v="A. Harris"/>
    <m/>
    <s v="T. White"/>
    <n v="25"/>
    <n v="24"/>
    <n v="3"/>
    <n v="63"/>
    <m/>
    <m/>
    <m/>
    <m/>
    <m/>
    <m/>
    <m/>
    <m/>
    <n v="500"/>
    <n v="1"/>
    <n v="1"/>
    <n v="1"/>
    <n v="0"/>
    <n v="24"/>
    <m/>
    <m/>
  </r>
  <r>
    <m/>
    <x v="19"/>
    <s v="A-493-0092"/>
    <n v="5891"/>
    <x v="7"/>
    <d v="2025-11-12T00:00:00"/>
    <d v="2025-11-14T00:00:00"/>
    <d v="1899-12-30T08:00:00"/>
    <m/>
    <m/>
    <m/>
    <m/>
    <m/>
    <m/>
    <s v="W. Mitchell"/>
    <m/>
    <s v="EMC Stroughn"/>
    <n v="25"/>
    <n v="24"/>
    <n v="3"/>
    <n v="42"/>
    <m/>
    <m/>
    <m/>
    <m/>
    <m/>
    <m/>
    <m/>
    <m/>
    <n v="199"/>
    <n v="1"/>
    <n v="1"/>
    <n v="1"/>
    <n v="0"/>
    <n v="24"/>
    <m/>
    <m/>
  </r>
  <r>
    <m/>
    <x v="19"/>
    <s v="A-493-0092"/>
    <n v="5891"/>
    <x v="15"/>
    <d v="2026-02-18T00:00:00"/>
    <d v="2026-02-20T00:00:00"/>
    <d v="1899-12-30T08:00:00"/>
    <m/>
    <m/>
    <m/>
    <m/>
    <m/>
    <m/>
    <s v="W. Mitchell"/>
    <m/>
    <s v="EMC Stroughn"/>
    <n v="25"/>
    <n v="24"/>
    <n v="3"/>
    <n v="51"/>
    <m/>
    <m/>
    <m/>
    <m/>
    <m/>
    <m/>
    <m/>
    <m/>
    <n v="297"/>
    <n v="1"/>
    <n v="1"/>
    <n v="1"/>
    <n v="0"/>
    <n v="24"/>
    <m/>
    <m/>
  </r>
  <r>
    <m/>
    <x v="19"/>
    <s v="A-493-0092"/>
    <n v="5891"/>
    <x v="5"/>
    <d v="2026-09-16T00:00:00"/>
    <d v="2026-09-18T00:00:00"/>
    <d v="1899-12-30T08:00:00"/>
    <m/>
    <m/>
    <m/>
    <m/>
    <m/>
    <m/>
    <s v="W. Mitchell"/>
    <m/>
    <s v="Marie"/>
    <n v="25"/>
    <n v="24"/>
    <n v="3"/>
    <n v="114"/>
    <m/>
    <m/>
    <m/>
    <m/>
    <m/>
    <m/>
    <m/>
    <m/>
    <n v="507"/>
    <n v="1"/>
    <n v="1"/>
    <n v="1"/>
    <n v="0"/>
    <n v="24"/>
    <m/>
    <m/>
  </r>
  <r>
    <m/>
    <x v="20"/>
    <s v="A-493-0331"/>
    <s v="10UG"/>
    <x v="0"/>
    <d v="2025-10-14T00:00:00"/>
    <d v="2025-10-16T00:00:00"/>
    <m/>
    <d v="1899-12-30T12:00:00"/>
    <m/>
    <m/>
    <m/>
    <m/>
    <m/>
    <s v="A. Hardy"/>
    <m/>
    <m/>
    <n v="45"/>
    <n v="24"/>
    <n v="3"/>
    <n v="844"/>
    <m/>
    <m/>
    <m/>
    <m/>
    <m/>
    <m/>
    <m/>
    <m/>
    <n v="170"/>
    <n v="1"/>
    <n v="1"/>
    <n v="1"/>
    <n v="0"/>
    <n v="24"/>
    <m/>
    <m/>
  </r>
  <r>
    <m/>
    <x v="20"/>
    <s v="A-493-0331"/>
    <s v="10UG"/>
    <x v="0"/>
    <d v="2025-10-28T00:00:00"/>
    <d v="2025-10-30T00:00:00"/>
    <m/>
    <d v="1899-12-30T19:00:00"/>
    <m/>
    <m/>
    <m/>
    <m/>
    <m/>
    <s v="A. Hardy"/>
    <m/>
    <m/>
    <n v="45"/>
    <n v="24"/>
    <n v="3"/>
    <n v="183"/>
    <m/>
    <m/>
    <m/>
    <m/>
    <m/>
    <m/>
    <m/>
    <m/>
    <n v="184"/>
    <n v="1"/>
    <n v="1"/>
    <n v="1"/>
    <n v="0"/>
    <n v="24"/>
    <m/>
    <m/>
  </r>
  <r>
    <m/>
    <x v="20"/>
    <s v="A-493-0331"/>
    <s v="10UG"/>
    <x v="0"/>
    <d v="2025-11-12T00:00:00"/>
    <d v="2025-11-14T00:00:00"/>
    <m/>
    <d v="1899-12-30T12:00:00"/>
    <m/>
    <m/>
    <m/>
    <m/>
    <m/>
    <s v="A. Hardy"/>
    <m/>
    <m/>
    <n v="45"/>
    <n v="24"/>
    <n v="3"/>
    <n v="844"/>
    <m/>
    <m/>
    <m/>
    <m/>
    <m/>
    <m/>
    <m/>
    <m/>
    <n v="199"/>
    <n v="1"/>
    <n v="1"/>
    <n v="1"/>
    <n v="0"/>
    <n v="24"/>
    <m/>
    <m/>
  </r>
  <r>
    <m/>
    <x v="20"/>
    <s v="A-493-0331"/>
    <s v="10UG"/>
    <x v="0"/>
    <d v="2026-01-20T00:00:00"/>
    <d v="2026-01-22T00:00:00"/>
    <m/>
    <d v="1899-12-30T08:00:00"/>
    <m/>
    <m/>
    <m/>
    <m/>
    <m/>
    <s v="A. Hardy"/>
    <m/>
    <m/>
    <n v="45"/>
    <n v="24"/>
    <n v="3"/>
    <n v="470"/>
    <m/>
    <m/>
    <m/>
    <m/>
    <m/>
    <m/>
    <m/>
    <m/>
    <n v="268"/>
    <n v="1"/>
    <n v="1"/>
    <n v="1"/>
    <n v="0"/>
    <n v="24"/>
    <m/>
    <m/>
  </r>
  <r>
    <m/>
    <x v="20"/>
    <s v="A-493-0331"/>
    <s v="10UG"/>
    <x v="0"/>
    <d v="2026-02-17T00:00:00"/>
    <d v="2026-02-19T00:00:00"/>
    <m/>
    <d v="1899-12-30T12:00:00"/>
    <m/>
    <m/>
    <m/>
    <m/>
    <m/>
    <s v="A. Hardy"/>
    <m/>
    <m/>
    <n v="45"/>
    <n v="24"/>
    <n v="3"/>
    <n v="844"/>
    <m/>
    <m/>
    <m/>
    <m/>
    <m/>
    <m/>
    <m/>
    <m/>
    <n v="296"/>
    <n v="1"/>
    <n v="1"/>
    <n v="1"/>
    <n v="0"/>
    <n v="24"/>
    <m/>
    <m/>
  </r>
  <r>
    <m/>
    <x v="20"/>
    <s v="A-493-0331"/>
    <s v="10UG"/>
    <x v="0"/>
    <d v="2026-05-19T00:00:00"/>
    <d v="2026-05-21T00:00:00"/>
    <m/>
    <d v="1899-12-30T12:00:00"/>
    <m/>
    <m/>
    <m/>
    <m/>
    <m/>
    <s v="A. Hardy"/>
    <m/>
    <m/>
    <n v="45"/>
    <n v="24"/>
    <n v="3"/>
    <n v="844"/>
    <m/>
    <m/>
    <m/>
    <m/>
    <m/>
    <m/>
    <m/>
    <m/>
    <n v="387"/>
    <n v="1"/>
    <n v="1"/>
    <n v="1"/>
    <n v="0"/>
    <n v="24"/>
    <m/>
    <m/>
  </r>
  <r>
    <m/>
    <x v="20"/>
    <s v="A-493-0331"/>
    <s v="10UG"/>
    <x v="0"/>
    <d v="2026-07-07T00:00:00"/>
    <d v="2026-07-09T00:00:00"/>
    <m/>
    <d v="1899-12-30T12:00:00"/>
    <m/>
    <m/>
    <m/>
    <m/>
    <m/>
    <s v="A. Hardy"/>
    <m/>
    <m/>
    <n v="45"/>
    <n v="24"/>
    <n v="3"/>
    <n v="844"/>
    <m/>
    <m/>
    <m/>
    <m/>
    <m/>
    <m/>
    <m/>
    <m/>
    <n v="436"/>
    <n v="1"/>
    <n v="1"/>
    <n v="1"/>
    <n v="0"/>
    <n v="24"/>
    <m/>
    <m/>
  </r>
  <r>
    <m/>
    <x v="20"/>
    <s v="A-493-0331"/>
    <s v="10UG"/>
    <x v="0"/>
    <d v="2026-08-04T00:00:00"/>
    <d v="2026-08-06T00:00:00"/>
    <m/>
    <d v="1899-12-30T12:00:00"/>
    <m/>
    <m/>
    <m/>
    <m/>
    <m/>
    <s v="A. Hardy"/>
    <m/>
    <m/>
    <n v="45"/>
    <n v="24"/>
    <n v="3"/>
    <n v="844"/>
    <m/>
    <m/>
    <m/>
    <m/>
    <m/>
    <m/>
    <m/>
    <m/>
    <n v="464"/>
    <n v="1"/>
    <n v="1"/>
    <n v="1"/>
    <n v="0"/>
    <n v="24"/>
    <m/>
    <m/>
  </r>
  <r>
    <m/>
    <x v="20"/>
    <s v="A-493-0331"/>
    <s v="10UG"/>
    <x v="0"/>
    <d v="2026-09-15T00:00:00"/>
    <d v="2026-09-17T00:00:00"/>
    <m/>
    <d v="1899-12-30T12:00:00"/>
    <m/>
    <m/>
    <m/>
    <m/>
    <m/>
    <s v="B. Jung"/>
    <m/>
    <m/>
    <n v="45"/>
    <n v="24"/>
    <n v="3"/>
    <n v="844"/>
    <m/>
    <m/>
    <m/>
    <m/>
    <m/>
    <m/>
    <m/>
    <m/>
    <n v="506"/>
    <n v="1"/>
    <n v="1"/>
    <n v="1"/>
    <n v="0"/>
    <n v="24"/>
    <m/>
    <m/>
  </r>
  <r>
    <m/>
    <x v="20"/>
    <s v="A-493-0331"/>
    <s v="10UG"/>
    <x v="0"/>
    <d v="2025-12-09T00:00:00"/>
    <d v="2025-12-11T00:00:00"/>
    <m/>
    <d v="1899-12-30T12:00:00"/>
    <m/>
    <m/>
    <m/>
    <m/>
    <m/>
    <s v="W. Mitchell"/>
    <m/>
    <m/>
    <n v="45"/>
    <n v="24"/>
    <n v="3"/>
    <n v="844"/>
    <m/>
    <m/>
    <m/>
    <m/>
    <m/>
    <m/>
    <m/>
    <m/>
    <n v="226"/>
    <n v="1"/>
    <n v="1"/>
    <n v="1"/>
    <n v="0"/>
    <n v="24"/>
    <m/>
    <m/>
  </r>
  <r>
    <m/>
    <x v="20"/>
    <s v="A-493-0331"/>
    <s v="10UG"/>
    <x v="0"/>
    <d v="2026-03-10T00:00:00"/>
    <d v="2026-03-12T00:00:00"/>
    <m/>
    <d v="1899-12-30T12:00:00"/>
    <m/>
    <m/>
    <m/>
    <m/>
    <m/>
    <s v="W. Mitchell"/>
    <m/>
    <m/>
    <n v="45"/>
    <n v="24"/>
    <n v="3"/>
    <n v="844"/>
    <m/>
    <m/>
    <m/>
    <m/>
    <m/>
    <m/>
    <m/>
    <m/>
    <n v="317"/>
    <n v="1"/>
    <n v="1"/>
    <n v="1"/>
    <n v="0"/>
    <n v="24"/>
    <m/>
    <m/>
  </r>
  <r>
    <m/>
    <x v="20"/>
    <s v="A-493-0331"/>
    <s v="10UG"/>
    <x v="0"/>
    <d v="2026-04-28T00:00:00"/>
    <d v="2026-04-30T00:00:00"/>
    <m/>
    <d v="1899-12-30T12:00:00"/>
    <m/>
    <m/>
    <m/>
    <m/>
    <m/>
    <s v="W. Mitchell"/>
    <m/>
    <m/>
    <n v="45"/>
    <n v="24"/>
    <n v="3"/>
    <n v="844"/>
    <m/>
    <m/>
    <m/>
    <m/>
    <m/>
    <m/>
    <m/>
    <m/>
    <n v="366"/>
    <n v="1"/>
    <n v="1"/>
    <n v="1"/>
    <n v="0"/>
    <n v="24"/>
    <m/>
    <m/>
  </r>
  <r>
    <m/>
    <x v="20"/>
    <s v="A-493-0331"/>
    <s v="10UG"/>
    <x v="0"/>
    <d v="2026-06-09T00:00:00"/>
    <d v="2026-06-11T00:00:00"/>
    <m/>
    <d v="1899-12-30T08:00:00"/>
    <m/>
    <m/>
    <m/>
    <m/>
    <m/>
    <s v="W. Mitchell"/>
    <m/>
    <m/>
    <n v="45"/>
    <n v="24"/>
    <n v="3"/>
    <n v="470"/>
    <m/>
    <m/>
    <m/>
    <m/>
    <m/>
    <m/>
    <m/>
    <m/>
    <n v="408"/>
    <n v="1"/>
    <n v="1"/>
    <n v="1"/>
    <n v="0"/>
    <n v="24"/>
    <m/>
    <m/>
  </r>
  <r>
    <m/>
    <x v="20"/>
    <s v="A-493-0331"/>
    <s v="10UG"/>
    <x v="0"/>
    <d v="2026-09-01T00:00:00"/>
    <d v="2026-09-03T00:00:00"/>
    <m/>
    <d v="1899-12-30T19:00:00"/>
    <m/>
    <m/>
    <m/>
    <m/>
    <m/>
    <s v="W. Mitchell"/>
    <m/>
    <m/>
    <n v="45"/>
    <n v="24"/>
    <n v="3"/>
    <n v="183"/>
    <m/>
    <m/>
    <m/>
    <m/>
    <m/>
    <m/>
    <m/>
    <m/>
    <n v="492"/>
    <n v="1"/>
    <n v="1"/>
    <n v="1"/>
    <n v="0"/>
    <n v="24"/>
    <m/>
    <m/>
  </r>
  <r>
    <m/>
    <x v="21"/>
    <s v="A-493-0335"/>
    <s v="09ND"/>
    <x v="0"/>
    <d v="2025-11-03T00:00:00"/>
    <d v="2025-11-06T00:00:00"/>
    <m/>
    <d v="1899-12-30T12:00:00"/>
    <m/>
    <m/>
    <m/>
    <m/>
    <m/>
    <s v="A. Harris"/>
    <m/>
    <m/>
    <n v="45"/>
    <n v="32"/>
    <n v="4"/>
    <n v="537"/>
    <m/>
    <m/>
    <m/>
    <m/>
    <m/>
    <m/>
    <m/>
    <m/>
    <n v="191"/>
    <n v="1"/>
    <n v="1"/>
    <n v="1"/>
    <n v="0"/>
    <n v="32"/>
    <m/>
    <m/>
  </r>
  <r>
    <m/>
    <x v="21"/>
    <s v="A-493-0335"/>
    <s v="09ND"/>
    <x v="0"/>
    <d v="2026-01-20T00:00:00"/>
    <d v="2026-01-23T00:00:00"/>
    <m/>
    <d v="1899-12-30T08:00:00"/>
    <m/>
    <m/>
    <m/>
    <m/>
    <m/>
    <s v="A. Harris"/>
    <m/>
    <m/>
    <n v="45"/>
    <n v="32"/>
    <n v="4"/>
    <n v="301"/>
    <m/>
    <m/>
    <m/>
    <m/>
    <m/>
    <m/>
    <m/>
    <m/>
    <n v="269"/>
    <n v="1"/>
    <n v="1"/>
    <n v="1"/>
    <n v="0"/>
    <n v="32"/>
    <m/>
    <m/>
  </r>
  <r>
    <m/>
    <x v="21"/>
    <s v="A-493-0335"/>
    <s v="09ND"/>
    <x v="0"/>
    <d v="2026-05-18T00:00:00"/>
    <d v="2026-05-21T00:00:00"/>
    <m/>
    <d v="1899-12-30T12:00:00"/>
    <m/>
    <m/>
    <m/>
    <m/>
    <m/>
    <s v="A. Harris"/>
    <m/>
    <m/>
    <n v="45"/>
    <n v="32"/>
    <n v="4"/>
    <n v="537"/>
    <m/>
    <m/>
    <m/>
    <m/>
    <m/>
    <m/>
    <m/>
    <m/>
    <n v="387"/>
    <n v="1"/>
    <n v="1"/>
    <n v="1"/>
    <n v="0"/>
    <n v="32"/>
    <m/>
    <m/>
  </r>
  <r>
    <m/>
    <x v="21"/>
    <s v="A-493-0335"/>
    <s v="09ND"/>
    <x v="0"/>
    <d v="2026-08-17T00:00:00"/>
    <d v="2026-08-20T00:00:00"/>
    <m/>
    <d v="1899-12-30T12:00:00"/>
    <m/>
    <m/>
    <m/>
    <m/>
    <m/>
    <s v="A. Harris"/>
    <m/>
    <m/>
    <n v="45"/>
    <n v="32"/>
    <n v="4"/>
    <n v="537"/>
    <m/>
    <m/>
    <m/>
    <m/>
    <m/>
    <m/>
    <m/>
    <m/>
    <n v="478"/>
    <n v="1"/>
    <n v="1"/>
    <n v="1"/>
    <n v="0"/>
    <n v="32"/>
    <m/>
    <m/>
  </r>
  <r>
    <m/>
    <x v="21"/>
    <s v="A-493-0335"/>
    <s v="09ND"/>
    <x v="0"/>
    <d v="2026-09-22T00:00:00"/>
    <d v="2026-09-25T00:00:00"/>
    <m/>
    <d v="1899-12-30T08:00:00"/>
    <m/>
    <m/>
    <m/>
    <m/>
    <m/>
    <s v="A. Harris"/>
    <m/>
    <m/>
    <n v="45"/>
    <n v="32"/>
    <n v="4"/>
    <n v="301"/>
    <m/>
    <m/>
    <m/>
    <m/>
    <m/>
    <m/>
    <m/>
    <m/>
    <n v="514"/>
    <n v="1"/>
    <n v="1"/>
    <n v="1"/>
    <n v="0"/>
    <n v="32"/>
    <m/>
    <m/>
  </r>
  <r>
    <m/>
    <x v="21"/>
    <s v="A-493-0335"/>
    <s v="09ND"/>
    <x v="0"/>
    <d v="2025-11-17T00:00:00"/>
    <d v="2025-11-20T00:00:00"/>
    <m/>
    <d v="1899-12-30T19:00:00"/>
    <m/>
    <m/>
    <m/>
    <m/>
    <m/>
    <s v="B. Jung"/>
    <m/>
    <m/>
    <n v="45"/>
    <n v="32"/>
    <n v="4"/>
    <n v="119"/>
    <m/>
    <m/>
    <m/>
    <m/>
    <m/>
    <m/>
    <m/>
    <m/>
    <n v="205"/>
    <n v="1"/>
    <n v="1"/>
    <n v="1"/>
    <n v="0"/>
    <n v="32"/>
    <m/>
    <m/>
  </r>
  <r>
    <m/>
    <x v="21"/>
    <s v="A-493-0335"/>
    <s v="09ND"/>
    <x v="0"/>
    <d v="2026-06-22T00:00:00"/>
    <d v="2026-06-25T00:00:00"/>
    <m/>
    <d v="1899-12-30T12:00:00"/>
    <m/>
    <m/>
    <m/>
    <m/>
    <m/>
    <s v="B. Jung"/>
    <m/>
    <m/>
    <n v="45"/>
    <n v="32"/>
    <n v="4"/>
    <n v="537"/>
    <m/>
    <m/>
    <m/>
    <m/>
    <m/>
    <m/>
    <m/>
    <m/>
    <n v="422"/>
    <n v="1"/>
    <n v="1"/>
    <n v="1"/>
    <n v="0"/>
    <n v="32"/>
    <m/>
    <m/>
  </r>
  <r>
    <m/>
    <x v="21"/>
    <s v="A-493-0335"/>
    <s v="09ND"/>
    <x v="0"/>
    <d v="2026-03-23T00:00:00"/>
    <d v="2026-03-26T00:00:00"/>
    <m/>
    <d v="1899-12-30T12:00:00"/>
    <m/>
    <m/>
    <m/>
    <m/>
    <m/>
    <s v="W. Mitchell"/>
    <m/>
    <m/>
    <n v="45"/>
    <n v="32"/>
    <n v="4"/>
    <n v="537"/>
    <m/>
    <m/>
    <m/>
    <m/>
    <m/>
    <m/>
    <m/>
    <m/>
    <n v="331"/>
    <n v="1"/>
    <n v="1"/>
    <n v="1"/>
    <n v="0"/>
    <n v="32"/>
    <m/>
    <m/>
  </r>
  <r>
    <m/>
    <x v="21"/>
    <s v="A-493-0335"/>
    <s v="09ND"/>
    <x v="0"/>
    <d v="2026-06-01T00:00:00"/>
    <d v="2026-06-04T00:00:00"/>
    <m/>
    <d v="1899-12-30T19:00:00"/>
    <m/>
    <m/>
    <m/>
    <m/>
    <m/>
    <s v="W. Mitchell"/>
    <m/>
    <m/>
    <n v="45"/>
    <n v="32"/>
    <n v="4"/>
    <n v="119"/>
    <m/>
    <m/>
    <m/>
    <m/>
    <m/>
    <m/>
    <m/>
    <m/>
    <n v="401"/>
    <n v="1"/>
    <n v="1"/>
    <n v="1"/>
    <n v="0"/>
    <n v="32"/>
    <m/>
    <m/>
  </r>
  <r>
    <m/>
    <x v="22"/>
    <s v="A-493-0550"/>
    <s v="09K5"/>
    <x v="0"/>
    <d v="2025-09-29T00:00:00"/>
    <d v="2026-10-02T00:00:00"/>
    <m/>
    <d v="1903-01-04T08:00:00"/>
    <m/>
    <m/>
    <m/>
    <m/>
    <m/>
    <s v="N. DeCastro"/>
    <m/>
    <m/>
    <n v="45"/>
    <n v="32"/>
    <n v="4"/>
    <n v="455"/>
    <m/>
    <m/>
    <m/>
    <m/>
    <m/>
    <m/>
    <m/>
    <m/>
    <n v="521"/>
    <n v="1"/>
    <n v="1"/>
    <n v="1"/>
    <n v="0"/>
    <n v="32"/>
    <m/>
    <m/>
  </r>
  <r>
    <m/>
    <x v="22"/>
    <s v="A-493-0550"/>
    <s v="09K5"/>
    <x v="0"/>
    <d v="2025-10-07T00:00:00"/>
    <d v="2025-10-10T00:00:00"/>
    <m/>
    <d v="1899-12-30T19:00:00"/>
    <m/>
    <m/>
    <m/>
    <m/>
    <m/>
    <s v="N. DeCastro"/>
    <m/>
    <m/>
    <n v="45"/>
    <n v="32"/>
    <n v="4"/>
    <n v="180"/>
    <m/>
    <m/>
    <m/>
    <m/>
    <m/>
    <m/>
    <m/>
    <m/>
    <n v="164"/>
    <n v="1"/>
    <n v="1"/>
    <n v="1"/>
    <n v="0"/>
    <n v="32"/>
    <m/>
    <m/>
  </r>
  <r>
    <m/>
    <x v="22"/>
    <s v="A-493-0550"/>
    <s v="09K5"/>
    <x v="0"/>
    <d v="2025-10-20T00:00:00"/>
    <d v="2025-10-23T00:00:00"/>
    <m/>
    <d v="1899-12-30T11:00:00"/>
    <m/>
    <m/>
    <m/>
    <m/>
    <m/>
    <s v="N. DeCastro"/>
    <m/>
    <m/>
    <n v="45"/>
    <n v="32"/>
    <n v="4"/>
    <n v="798"/>
    <m/>
    <m/>
    <m/>
    <m/>
    <m/>
    <m/>
    <m/>
    <m/>
    <n v="177"/>
    <n v="1"/>
    <n v="1"/>
    <n v="1"/>
    <n v="0"/>
    <n v="32"/>
    <m/>
    <m/>
  </r>
  <r>
    <m/>
    <x v="22"/>
    <s v="A-493-0550"/>
    <s v="09K5"/>
    <x v="0"/>
    <d v="2025-11-03T00:00:00"/>
    <d v="2025-11-06T00:00:00"/>
    <m/>
    <d v="1899-12-30T12:00:00"/>
    <m/>
    <m/>
    <m/>
    <m/>
    <m/>
    <s v="N. DeCastro"/>
    <m/>
    <m/>
    <n v="45"/>
    <n v="32"/>
    <n v="4"/>
    <n v="864"/>
    <m/>
    <m/>
    <m/>
    <m/>
    <m/>
    <m/>
    <m/>
    <m/>
    <n v="191"/>
    <n v="1"/>
    <n v="1"/>
    <n v="1"/>
    <n v="0"/>
    <n v="32"/>
    <m/>
    <m/>
  </r>
  <r>
    <m/>
    <x v="22"/>
    <s v="A-493-0550"/>
    <s v="09K5"/>
    <x v="0"/>
    <d v="2025-11-17T00:00:00"/>
    <d v="2025-11-20T00:00:00"/>
    <m/>
    <d v="1899-12-30T08:00:00"/>
    <m/>
    <m/>
    <m/>
    <m/>
    <m/>
    <s v="N. DeCastro"/>
    <m/>
    <m/>
    <n v="45"/>
    <n v="32"/>
    <n v="4"/>
    <n v="455"/>
    <m/>
    <m/>
    <m/>
    <m/>
    <m/>
    <m/>
    <m/>
    <m/>
    <n v="205"/>
    <n v="1"/>
    <n v="1"/>
    <n v="1"/>
    <n v="0"/>
    <n v="32"/>
    <m/>
    <m/>
  </r>
  <r>
    <m/>
    <x v="22"/>
    <s v="A-493-0550"/>
    <s v="09K5"/>
    <x v="0"/>
    <d v="2025-12-01T00:00:00"/>
    <d v="2025-12-04T00:00:00"/>
    <m/>
    <d v="1899-12-30T10:00:00"/>
    <m/>
    <m/>
    <m/>
    <m/>
    <m/>
    <s v="N. DeCastro"/>
    <m/>
    <m/>
    <n v="45"/>
    <n v="32"/>
    <n v="4"/>
    <n v="798"/>
    <m/>
    <m/>
    <m/>
    <m/>
    <m/>
    <m/>
    <m/>
    <m/>
    <n v="219"/>
    <n v="1"/>
    <n v="1"/>
    <n v="1"/>
    <n v="0"/>
    <n v="32"/>
    <m/>
    <m/>
  </r>
  <r>
    <m/>
    <x v="22"/>
    <s v="A-493-0550"/>
    <s v="09K5"/>
    <x v="0"/>
    <d v="2025-12-09T00:00:00"/>
    <d v="2025-12-12T00:00:00"/>
    <m/>
    <d v="1899-12-30T11:00:00"/>
    <m/>
    <m/>
    <m/>
    <m/>
    <m/>
    <s v="N. DeCastro"/>
    <m/>
    <m/>
    <n v="45"/>
    <n v="32"/>
    <n v="4"/>
    <n v="798"/>
    <m/>
    <m/>
    <m/>
    <m/>
    <m/>
    <m/>
    <m/>
    <m/>
    <n v="227"/>
    <n v="1"/>
    <n v="1"/>
    <n v="1"/>
    <n v="0"/>
    <n v="32"/>
    <m/>
    <m/>
  </r>
  <r>
    <m/>
    <x v="22"/>
    <s v="A-493-0550"/>
    <s v="09K5"/>
    <x v="0"/>
    <d v="2026-01-12T00:00:00"/>
    <d v="2026-01-15T00:00:00"/>
    <m/>
    <d v="1899-12-30T12:00:00"/>
    <m/>
    <m/>
    <m/>
    <m/>
    <m/>
    <s v="N. DeCastro"/>
    <m/>
    <m/>
    <n v="45"/>
    <n v="32"/>
    <n v="4"/>
    <n v="864"/>
    <m/>
    <m/>
    <m/>
    <m/>
    <m/>
    <m/>
    <m/>
    <m/>
    <n v="261"/>
    <n v="1"/>
    <n v="1"/>
    <n v="1"/>
    <n v="0"/>
    <n v="32"/>
    <m/>
    <m/>
  </r>
  <r>
    <m/>
    <x v="22"/>
    <s v="A-493-0550"/>
    <s v="09K5"/>
    <x v="0"/>
    <d v="2026-01-26T00:00:00"/>
    <d v="2026-01-29T00:00:00"/>
    <m/>
    <d v="1899-12-30T08:00:00"/>
    <m/>
    <m/>
    <m/>
    <m/>
    <m/>
    <s v="N. DeCastro"/>
    <m/>
    <m/>
    <n v="45"/>
    <n v="32"/>
    <n v="4"/>
    <n v="455"/>
    <m/>
    <m/>
    <m/>
    <m/>
    <m/>
    <m/>
    <m/>
    <m/>
    <n v="275"/>
    <n v="1"/>
    <n v="1"/>
    <n v="1"/>
    <n v="0"/>
    <n v="32"/>
    <m/>
    <m/>
  </r>
  <r>
    <m/>
    <x v="22"/>
    <s v="A-493-0550"/>
    <s v="09K5"/>
    <x v="0"/>
    <d v="2026-02-09T00:00:00"/>
    <d v="2026-02-12T00:00:00"/>
    <m/>
    <d v="1899-12-30T10:00:00"/>
    <m/>
    <m/>
    <m/>
    <m/>
    <m/>
    <s v="N. DeCastro"/>
    <m/>
    <m/>
    <n v="45"/>
    <n v="32"/>
    <n v="4"/>
    <n v="798"/>
    <m/>
    <m/>
    <m/>
    <m/>
    <m/>
    <m/>
    <m/>
    <m/>
    <n v="289"/>
    <n v="1"/>
    <n v="1"/>
    <n v="1"/>
    <n v="0"/>
    <n v="32"/>
    <m/>
    <m/>
  </r>
  <r>
    <m/>
    <x v="22"/>
    <s v="A-493-0550"/>
    <s v="09K5"/>
    <x v="0"/>
    <d v="2026-02-23T00:00:00"/>
    <d v="2026-02-26T00:00:00"/>
    <m/>
    <d v="1899-12-30T11:00:00"/>
    <m/>
    <m/>
    <m/>
    <m/>
    <m/>
    <s v="N. DeCastro"/>
    <m/>
    <m/>
    <n v="45"/>
    <n v="32"/>
    <n v="4"/>
    <n v="798"/>
    <m/>
    <m/>
    <m/>
    <m/>
    <m/>
    <m/>
    <m/>
    <m/>
    <n v="303"/>
    <n v="1"/>
    <n v="1"/>
    <n v="1"/>
    <n v="0"/>
    <n v="32"/>
    <m/>
    <m/>
  </r>
  <r>
    <m/>
    <x v="22"/>
    <s v="A-493-0550"/>
    <s v="09K5"/>
    <x v="0"/>
    <d v="2026-03-09T00:00:00"/>
    <d v="2026-03-12T00:00:00"/>
    <m/>
    <d v="1899-12-30T12:00:00"/>
    <m/>
    <m/>
    <m/>
    <m/>
    <m/>
    <s v="N. DeCastro"/>
    <m/>
    <m/>
    <n v="45"/>
    <n v="32"/>
    <n v="4"/>
    <n v="864"/>
    <m/>
    <m/>
    <m/>
    <m/>
    <m/>
    <m/>
    <m/>
    <m/>
    <n v="317"/>
    <n v="1"/>
    <n v="1"/>
    <n v="1"/>
    <n v="0"/>
    <n v="32"/>
    <m/>
    <m/>
  </r>
  <r>
    <m/>
    <x v="22"/>
    <s v="A-493-0550"/>
    <s v="09K5"/>
    <x v="0"/>
    <d v="2026-03-23T00:00:00"/>
    <d v="2026-03-26T00:00:00"/>
    <m/>
    <d v="1899-12-30T08:00:00"/>
    <m/>
    <m/>
    <m/>
    <m/>
    <m/>
    <s v="N. DeCastro"/>
    <m/>
    <m/>
    <n v="45"/>
    <n v="32"/>
    <n v="4"/>
    <n v="455"/>
    <m/>
    <m/>
    <m/>
    <m/>
    <m/>
    <m/>
    <m/>
    <m/>
    <n v="331"/>
    <n v="1"/>
    <n v="1"/>
    <n v="1"/>
    <n v="0"/>
    <n v="32"/>
    <m/>
    <m/>
  </r>
  <r>
    <m/>
    <x v="22"/>
    <s v="A-493-0550"/>
    <s v="09K5"/>
    <x v="0"/>
    <d v="2026-03-31T00:00:00"/>
    <d v="2026-04-03T00:00:00"/>
    <m/>
    <d v="1899-12-30T10:00:00"/>
    <m/>
    <m/>
    <m/>
    <m/>
    <m/>
    <s v="N. DeCastro"/>
    <m/>
    <m/>
    <n v="45"/>
    <n v="32"/>
    <n v="4"/>
    <n v="798"/>
    <m/>
    <m/>
    <m/>
    <m/>
    <m/>
    <m/>
    <m/>
    <m/>
    <n v="339"/>
    <n v="1"/>
    <n v="1"/>
    <n v="1"/>
    <n v="0"/>
    <n v="32"/>
    <m/>
    <m/>
  </r>
  <r>
    <m/>
    <x v="22"/>
    <s v="A-493-0550"/>
    <s v="09K5"/>
    <x v="0"/>
    <d v="2026-04-27T00:00:00"/>
    <d v="2026-04-30T00:00:00"/>
    <m/>
    <d v="1899-12-30T11:00:00"/>
    <m/>
    <m/>
    <m/>
    <m/>
    <m/>
    <s v="N. DeCastro"/>
    <m/>
    <m/>
    <n v="45"/>
    <n v="32"/>
    <n v="4"/>
    <n v="798"/>
    <m/>
    <m/>
    <m/>
    <m/>
    <m/>
    <m/>
    <m/>
    <m/>
    <n v="366"/>
    <n v="1"/>
    <n v="1"/>
    <n v="1"/>
    <n v="0"/>
    <n v="32"/>
    <m/>
    <m/>
  </r>
  <r>
    <m/>
    <x v="22"/>
    <s v="A-493-0550"/>
    <s v="09K5"/>
    <x v="0"/>
    <d v="2026-05-11T00:00:00"/>
    <d v="2026-05-14T00:00:00"/>
    <m/>
    <d v="1899-12-30T12:00:00"/>
    <m/>
    <m/>
    <m/>
    <m/>
    <m/>
    <s v="N. DeCastro"/>
    <m/>
    <m/>
    <n v="45"/>
    <n v="32"/>
    <n v="4"/>
    <n v="864"/>
    <m/>
    <m/>
    <m/>
    <m/>
    <m/>
    <m/>
    <m/>
    <m/>
    <n v="380"/>
    <n v="1"/>
    <n v="1"/>
    <n v="1"/>
    <n v="0"/>
    <n v="32"/>
    <m/>
    <m/>
  </r>
  <r>
    <m/>
    <x v="22"/>
    <s v="A-493-0550"/>
    <s v="09K5"/>
    <x v="0"/>
    <d v="2026-05-19T00:00:00"/>
    <d v="2026-05-22T00:00:00"/>
    <m/>
    <d v="1899-12-30T08:00:00"/>
    <m/>
    <m/>
    <m/>
    <m/>
    <m/>
    <s v="N. DeCastro"/>
    <m/>
    <m/>
    <n v="45"/>
    <n v="32"/>
    <n v="4"/>
    <n v="455"/>
    <m/>
    <m/>
    <m/>
    <m/>
    <m/>
    <m/>
    <m/>
    <m/>
    <n v="388"/>
    <n v="1"/>
    <n v="1"/>
    <n v="1"/>
    <n v="0"/>
    <n v="32"/>
    <m/>
    <m/>
  </r>
  <r>
    <m/>
    <x v="22"/>
    <s v="A-493-0550"/>
    <s v="09K5"/>
    <x v="0"/>
    <d v="2026-05-26T00:00:00"/>
    <d v="2026-05-29T00:00:00"/>
    <m/>
    <d v="1899-12-30T19:00:00"/>
    <m/>
    <m/>
    <m/>
    <m/>
    <m/>
    <s v="N. DeCastro"/>
    <m/>
    <m/>
    <n v="45"/>
    <n v="32"/>
    <n v="4"/>
    <n v="180"/>
    <m/>
    <m/>
    <m/>
    <m/>
    <m/>
    <m/>
    <m/>
    <m/>
    <n v="395"/>
    <n v="1"/>
    <n v="1"/>
    <n v="1"/>
    <n v="0"/>
    <n v="32"/>
    <m/>
    <m/>
  </r>
  <r>
    <m/>
    <x v="22"/>
    <s v="A-493-0550"/>
    <s v="09K5"/>
    <x v="0"/>
    <d v="2026-06-02T00:00:00"/>
    <d v="2026-06-05T00:00:00"/>
    <m/>
    <d v="1899-12-30T08:00:00"/>
    <m/>
    <m/>
    <m/>
    <m/>
    <m/>
    <s v="N. DeCastro"/>
    <m/>
    <m/>
    <n v="45"/>
    <n v="32"/>
    <n v="4"/>
    <n v="455"/>
    <m/>
    <m/>
    <m/>
    <m/>
    <m/>
    <m/>
    <m/>
    <m/>
    <n v="402"/>
    <n v="1"/>
    <n v="1"/>
    <n v="1"/>
    <n v="0"/>
    <n v="32"/>
    <m/>
    <m/>
  </r>
  <r>
    <m/>
    <x v="22"/>
    <s v="A-493-0550"/>
    <s v="09K5"/>
    <x v="0"/>
    <d v="2026-06-15T00:00:00"/>
    <d v="2026-06-18T00:00:00"/>
    <m/>
    <d v="1899-12-30T19:00:00"/>
    <m/>
    <m/>
    <m/>
    <m/>
    <m/>
    <s v="N. DeCastro"/>
    <m/>
    <m/>
    <n v="45"/>
    <n v="32"/>
    <n v="4"/>
    <n v="180"/>
    <m/>
    <m/>
    <m/>
    <m/>
    <m/>
    <m/>
    <m/>
    <m/>
    <n v="415"/>
    <n v="1"/>
    <n v="1"/>
    <n v="1"/>
    <n v="0"/>
    <n v="32"/>
    <m/>
    <m/>
  </r>
  <r>
    <m/>
    <x v="22"/>
    <s v="A-493-0550"/>
    <s v="09K5"/>
    <x v="0"/>
    <d v="2026-06-29T00:00:00"/>
    <d v="2026-07-02T00:00:00"/>
    <m/>
    <d v="1899-12-30T10:00:00"/>
    <m/>
    <m/>
    <m/>
    <m/>
    <m/>
    <s v="N. DeCastro"/>
    <m/>
    <m/>
    <n v="45"/>
    <n v="32"/>
    <n v="4"/>
    <n v="798"/>
    <m/>
    <m/>
    <m/>
    <m/>
    <m/>
    <m/>
    <m/>
    <m/>
    <n v="429"/>
    <n v="1"/>
    <n v="1"/>
    <n v="1"/>
    <n v="0"/>
    <n v="32"/>
    <m/>
    <m/>
  </r>
  <r>
    <m/>
    <x v="22"/>
    <s v="A-493-0550"/>
    <s v="09K5"/>
    <x v="0"/>
    <d v="2026-07-07T00:00:00"/>
    <d v="2026-07-10T00:00:00"/>
    <m/>
    <d v="1899-12-30T12:00:00"/>
    <m/>
    <m/>
    <m/>
    <m/>
    <m/>
    <s v="N. DeCastro"/>
    <m/>
    <m/>
    <n v="45"/>
    <n v="32"/>
    <n v="4"/>
    <n v="864"/>
    <m/>
    <m/>
    <m/>
    <m/>
    <m/>
    <m/>
    <m/>
    <m/>
    <n v="437"/>
    <n v="1"/>
    <n v="1"/>
    <n v="1"/>
    <n v="0"/>
    <n v="32"/>
    <m/>
    <m/>
  </r>
  <r>
    <m/>
    <x v="22"/>
    <s v="A-493-0550"/>
    <s v="09K5"/>
    <x v="0"/>
    <d v="2026-07-28T00:00:00"/>
    <d v="2026-07-31T00:00:00"/>
    <m/>
    <d v="1899-12-30T08:00:00"/>
    <m/>
    <m/>
    <m/>
    <m/>
    <m/>
    <s v="N. DeCastro"/>
    <m/>
    <m/>
    <n v="45"/>
    <n v="32"/>
    <n v="4"/>
    <n v="455"/>
    <m/>
    <m/>
    <m/>
    <m/>
    <m/>
    <m/>
    <m/>
    <m/>
    <n v="458"/>
    <n v="1"/>
    <n v="1"/>
    <n v="1"/>
    <n v="0"/>
    <n v="32"/>
    <m/>
    <m/>
  </r>
  <r>
    <m/>
    <x v="22"/>
    <s v="A-493-0550"/>
    <s v="09K5"/>
    <x v="0"/>
    <d v="2026-08-04T00:00:00"/>
    <d v="2026-08-07T00:00:00"/>
    <m/>
    <d v="1899-12-30T10:00:00"/>
    <m/>
    <m/>
    <m/>
    <m/>
    <m/>
    <s v="N. DeCastro"/>
    <m/>
    <m/>
    <n v="45"/>
    <n v="32"/>
    <n v="4"/>
    <n v="798"/>
    <m/>
    <m/>
    <m/>
    <m/>
    <m/>
    <m/>
    <m/>
    <m/>
    <n v="465"/>
    <n v="1"/>
    <n v="1"/>
    <n v="1"/>
    <n v="0"/>
    <n v="32"/>
    <m/>
    <m/>
  </r>
  <r>
    <m/>
    <x v="22"/>
    <s v="A-493-0550"/>
    <s v="09K5"/>
    <x v="0"/>
    <d v="2026-08-11T00:00:00"/>
    <d v="2026-08-14T00:00:00"/>
    <m/>
    <d v="1899-12-30T11:00:00"/>
    <m/>
    <m/>
    <m/>
    <m/>
    <m/>
    <s v="N. DeCastro"/>
    <m/>
    <m/>
    <n v="45"/>
    <n v="32"/>
    <n v="4"/>
    <n v="798"/>
    <m/>
    <m/>
    <m/>
    <m/>
    <m/>
    <m/>
    <m/>
    <m/>
    <n v="472"/>
    <n v="1"/>
    <n v="1"/>
    <n v="1"/>
    <n v="0"/>
    <n v="32"/>
    <m/>
    <m/>
  </r>
  <r>
    <m/>
    <x v="22"/>
    <s v="A-493-0550"/>
    <s v="09K5"/>
    <x v="0"/>
    <d v="2026-08-24T00:00:00"/>
    <d v="2026-08-27T00:00:00"/>
    <m/>
    <d v="1899-12-30T12:00:00"/>
    <m/>
    <m/>
    <m/>
    <m/>
    <m/>
    <s v="N. DeCastro"/>
    <m/>
    <m/>
    <n v="45"/>
    <n v="32"/>
    <n v="4"/>
    <n v="864"/>
    <m/>
    <m/>
    <m/>
    <m/>
    <m/>
    <m/>
    <m/>
    <m/>
    <n v="485"/>
    <n v="1"/>
    <n v="1"/>
    <n v="1"/>
    <n v="0"/>
    <n v="32"/>
    <m/>
    <m/>
  </r>
  <r>
    <m/>
    <x v="22"/>
    <s v="A-493-0550"/>
    <s v="09K5"/>
    <x v="0"/>
    <d v="2026-08-31T00:00:00"/>
    <d v="2026-09-03T00:00:00"/>
    <m/>
    <d v="1899-12-30T08:00:00"/>
    <m/>
    <m/>
    <m/>
    <m/>
    <m/>
    <s v="N. DeCastro"/>
    <m/>
    <m/>
    <n v="45"/>
    <n v="32"/>
    <n v="4"/>
    <n v="455"/>
    <m/>
    <m/>
    <m/>
    <m/>
    <m/>
    <m/>
    <m/>
    <m/>
    <n v="492"/>
    <n v="1"/>
    <n v="1"/>
    <n v="1"/>
    <n v="0"/>
    <n v="32"/>
    <m/>
    <m/>
  </r>
  <r>
    <m/>
    <x v="22"/>
    <s v="A-493-0550"/>
    <s v="09K5"/>
    <x v="0"/>
    <d v="2026-09-14T00:00:00"/>
    <d v="2026-09-17T00:00:00"/>
    <m/>
    <d v="1899-12-30T10:00:00"/>
    <m/>
    <m/>
    <m/>
    <m/>
    <m/>
    <s v="N. DeCastro"/>
    <m/>
    <m/>
    <n v="45"/>
    <n v="32"/>
    <n v="4"/>
    <n v="798"/>
    <m/>
    <m/>
    <m/>
    <m/>
    <m/>
    <m/>
    <m/>
    <m/>
    <n v="506"/>
    <n v="1"/>
    <n v="1"/>
    <n v="1"/>
    <n v="0"/>
    <n v="32"/>
    <m/>
    <m/>
  </r>
  <r>
    <m/>
    <x v="23"/>
    <s v="A-493-0078"/>
    <n v="1228"/>
    <x v="0"/>
    <d v="2025-10-06T00:00:00"/>
    <d v="2025-10-09T00:00:00"/>
    <m/>
    <d v="1899-12-30T10:00:00"/>
    <m/>
    <m/>
    <m/>
    <m/>
    <m/>
    <s v="T. White"/>
    <m/>
    <m/>
    <n v="45"/>
    <n v="32"/>
    <n v="4"/>
    <n v="931"/>
    <m/>
    <m/>
    <m/>
    <m/>
    <m/>
    <m/>
    <m/>
    <m/>
    <n v="163"/>
    <n v="1"/>
    <n v="1"/>
    <n v="1"/>
    <n v="0"/>
    <n v="32"/>
    <m/>
    <m/>
  </r>
  <r>
    <m/>
    <x v="23"/>
    <s v="A-493-0078"/>
    <n v="1228"/>
    <x v="0"/>
    <d v="2025-10-20T00:00:00"/>
    <d v="2025-10-23T00:00:00"/>
    <m/>
    <d v="1899-12-30T13:00:00"/>
    <m/>
    <m/>
    <m/>
    <m/>
    <m/>
    <s v="T. White"/>
    <m/>
    <m/>
    <n v="45"/>
    <n v="32"/>
    <n v="4"/>
    <n v="1014"/>
    <m/>
    <m/>
    <m/>
    <m/>
    <m/>
    <m/>
    <m/>
    <m/>
    <n v="177"/>
    <n v="1"/>
    <n v="1"/>
    <n v="1"/>
    <n v="0"/>
    <n v="32"/>
    <m/>
    <m/>
  </r>
  <r>
    <m/>
    <x v="23"/>
    <s v="A-493-0078"/>
    <n v="1228"/>
    <x v="0"/>
    <d v="2025-11-03T00:00:00"/>
    <d v="2025-11-07T00:00:00"/>
    <d v="1899-12-30T08:00:00"/>
    <m/>
    <m/>
    <m/>
    <m/>
    <m/>
    <m/>
    <s v="T. White"/>
    <m/>
    <m/>
    <n v="45"/>
    <n v="32"/>
    <n v="4"/>
    <m/>
    <m/>
    <m/>
    <m/>
    <m/>
    <m/>
    <m/>
    <m/>
    <m/>
    <n v="192"/>
    <n v="1"/>
    <n v="1"/>
    <n v="1"/>
    <n v="0"/>
    <n v="32"/>
    <m/>
    <m/>
  </r>
  <r>
    <m/>
    <x v="23"/>
    <s v="A-493-0078"/>
    <n v="1228"/>
    <x v="0"/>
    <d v="2025-11-17T00:00:00"/>
    <d v="2025-11-20T00:00:00"/>
    <m/>
    <d v="1899-12-30T10:00:00"/>
    <m/>
    <m/>
    <m/>
    <m/>
    <m/>
    <s v="T. White"/>
    <m/>
    <m/>
    <n v="45"/>
    <n v="32"/>
    <n v="4"/>
    <n v="931"/>
    <m/>
    <m/>
    <m/>
    <m/>
    <m/>
    <m/>
    <m/>
    <m/>
    <n v="205"/>
    <n v="1"/>
    <n v="1"/>
    <n v="1"/>
    <n v="0"/>
    <n v="32"/>
    <m/>
    <m/>
  </r>
  <r>
    <m/>
    <x v="23"/>
    <s v="A-493-0078"/>
    <n v="1228"/>
    <x v="0"/>
    <d v="2025-12-08T00:00:00"/>
    <d v="2025-12-11T00:00:00"/>
    <m/>
    <d v="1899-12-30T08:00:00"/>
    <m/>
    <m/>
    <m/>
    <m/>
    <m/>
    <s v="T. White"/>
    <m/>
    <m/>
    <n v="45"/>
    <n v="32"/>
    <n v="4"/>
    <n v="454"/>
    <m/>
    <m/>
    <m/>
    <m/>
    <m/>
    <m/>
    <m/>
    <m/>
    <n v="226"/>
    <n v="1"/>
    <n v="1"/>
    <n v="1"/>
    <n v="0"/>
    <n v="32"/>
    <m/>
    <m/>
  </r>
  <r>
    <m/>
    <x v="23"/>
    <s v="A-493-0078"/>
    <n v="1228"/>
    <x v="0"/>
    <d v="2026-01-06T00:00:00"/>
    <d v="2026-01-09T00:00:00"/>
    <m/>
    <d v="1899-12-30T12:00:00"/>
    <m/>
    <m/>
    <m/>
    <m/>
    <m/>
    <s v="T. White"/>
    <m/>
    <m/>
    <n v="45"/>
    <n v="32"/>
    <n v="4"/>
    <n v="1014"/>
    <m/>
    <m/>
    <m/>
    <m/>
    <m/>
    <m/>
    <m/>
    <m/>
    <n v="255"/>
    <n v="1"/>
    <n v="1"/>
    <n v="1"/>
    <n v="0"/>
    <n v="32"/>
    <m/>
    <m/>
  </r>
  <r>
    <m/>
    <x v="23"/>
    <s v="A-493-0078"/>
    <n v="1228"/>
    <x v="0"/>
    <d v="2026-01-20T00:00:00"/>
    <d v="2026-01-23T00:00:00"/>
    <m/>
    <d v="1899-12-30T08:00:00"/>
    <m/>
    <m/>
    <m/>
    <m/>
    <m/>
    <s v="T. White"/>
    <m/>
    <m/>
    <n v="45"/>
    <n v="32"/>
    <n v="4"/>
    <n v="454"/>
    <m/>
    <m/>
    <m/>
    <m/>
    <m/>
    <m/>
    <m/>
    <m/>
    <n v="269"/>
    <n v="1"/>
    <n v="1"/>
    <n v="1"/>
    <n v="0"/>
    <n v="32"/>
    <m/>
    <m/>
  </r>
  <r>
    <m/>
    <x v="23"/>
    <s v="A-493-0078"/>
    <n v="1228"/>
    <x v="0"/>
    <d v="2026-02-23T00:00:00"/>
    <d v="2026-02-26T00:00:00"/>
    <m/>
    <d v="1899-12-30T07:00:00"/>
    <m/>
    <m/>
    <m/>
    <m/>
    <m/>
    <s v="T. White"/>
    <m/>
    <m/>
    <n v="45"/>
    <n v="32"/>
    <n v="4"/>
    <n v="601"/>
    <m/>
    <m/>
    <m/>
    <m/>
    <m/>
    <m/>
    <m/>
    <m/>
    <n v="303"/>
    <n v="1"/>
    <n v="1"/>
    <n v="1"/>
    <n v="0"/>
    <n v="32"/>
    <m/>
    <m/>
  </r>
  <r>
    <m/>
    <x v="23"/>
    <s v="A-493-0078"/>
    <n v="1228"/>
    <x v="0"/>
    <d v="2026-03-09T00:00:00"/>
    <d v="2026-03-12T00:00:00"/>
    <m/>
    <d v="1899-12-30T08:00:00"/>
    <m/>
    <m/>
    <m/>
    <m/>
    <m/>
    <s v="T. White"/>
    <m/>
    <m/>
    <n v="45"/>
    <n v="32"/>
    <n v="4"/>
    <n v="454"/>
    <m/>
    <m/>
    <m/>
    <m/>
    <m/>
    <m/>
    <m/>
    <m/>
    <n v="317"/>
    <n v="1"/>
    <n v="1"/>
    <n v="1"/>
    <n v="0"/>
    <n v="32"/>
    <m/>
    <m/>
  </r>
  <r>
    <m/>
    <x v="23"/>
    <s v="A-493-0078"/>
    <n v="1228"/>
    <x v="0"/>
    <d v="2026-03-23T00:00:00"/>
    <d v="2026-03-26T00:00:00"/>
    <m/>
    <d v="1899-12-30T11:00:00"/>
    <m/>
    <m/>
    <m/>
    <m/>
    <m/>
    <s v="T. White"/>
    <m/>
    <m/>
    <n v="45"/>
    <n v="32"/>
    <n v="4"/>
    <n v="931"/>
    <m/>
    <m/>
    <m/>
    <m/>
    <m/>
    <m/>
    <m/>
    <m/>
    <n v="331"/>
    <n v="1"/>
    <n v="1"/>
    <n v="1"/>
    <n v="0"/>
    <n v="32"/>
    <m/>
    <m/>
  </r>
  <r>
    <m/>
    <x v="23"/>
    <s v="A-493-0078"/>
    <n v="1228"/>
    <x v="0"/>
    <d v="2026-05-18T00:00:00"/>
    <d v="2026-05-21T00:00:00"/>
    <m/>
    <d v="1899-12-30T12:00:00"/>
    <m/>
    <m/>
    <m/>
    <m/>
    <m/>
    <s v="T. White"/>
    <m/>
    <m/>
    <n v="45"/>
    <n v="32"/>
    <n v="4"/>
    <n v="1014"/>
    <m/>
    <m/>
    <m/>
    <m/>
    <m/>
    <m/>
    <m/>
    <m/>
    <n v="387"/>
    <n v="1"/>
    <n v="1"/>
    <n v="1"/>
    <n v="0"/>
    <n v="32"/>
    <m/>
    <m/>
  </r>
  <r>
    <m/>
    <x v="23"/>
    <s v="A-493-0078"/>
    <n v="1228"/>
    <x v="0"/>
    <d v="2026-06-01T00:00:00"/>
    <d v="2026-06-04T00:00:00"/>
    <m/>
    <d v="1899-12-30T07:00:00"/>
    <m/>
    <m/>
    <m/>
    <m/>
    <m/>
    <s v="T. White"/>
    <m/>
    <m/>
    <n v="45"/>
    <n v="32"/>
    <n v="4"/>
    <n v="601"/>
    <m/>
    <m/>
    <m/>
    <m/>
    <m/>
    <m/>
    <m/>
    <m/>
    <n v="401"/>
    <n v="1"/>
    <n v="1"/>
    <n v="1"/>
    <n v="0"/>
    <n v="32"/>
    <m/>
    <m/>
  </r>
  <r>
    <m/>
    <x v="23"/>
    <s v="A-493-0078"/>
    <n v="1228"/>
    <x v="0"/>
    <d v="2026-06-15T00:00:00"/>
    <d v="2026-06-18T00:00:00"/>
    <m/>
    <d v="1899-12-30T19:00:00"/>
    <m/>
    <m/>
    <m/>
    <m/>
    <m/>
    <s v="T. White"/>
    <m/>
    <m/>
    <n v="45"/>
    <n v="32"/>
    <n v="4"/>
    <n v="181"/>
    <m/>
    <m/>
    <m/>
    <m/>
    <m/>
    <m/>
    <m/>
    <m/>
    <n v="415"/>
    <n v="1"/>
    <n v="1"/>
    <n v="1"/>
    <n v="0"/>
    <n v="32"/>
    <m/>
    <m/>
  </r>
  <r>
    <m/>
    <x v="23"/>
    <s v="A-493-0078"/>
    <n v="1228"/>
    <x v="0"/>
    <d v="2026-06-29T00:00:00"/>
    <d v="2026-07-02T00:00:00"/>
    <m/>
    <d v="1899-12-30T08:00:00"/>
    <m/>
    <m/>
    <m/>
    <m/>
    <m/>
    <s v="T. White"/>
    <m/>
    <m/>
    <n v="45"/>
    <n v="32"/>
    <n v="4"/>
    <n v="454"/>
    <m/>
    <m/>
    <m/>
    <m/>
    <m/>
    <m/>
    <m/>
    <m/>
    <n v="429"/>
    <n v="1"/>
    <n v="1"/>
    <n v="1"/>
    <n v="0"/>
    <n v="32"/>
    <m/>
    <m/>
  </r>
  <r>
    <m/>
    <x v="23"/>
    <s v="A-493-0078"/>
    <n v="1228"/>
    <x v="0"/>
    <d v="2026-07-13T00:00:00"/>
    <d v="2026-07-16T00:00:00"/>
    <m/>
    <d v="1899-12-30T11:00:00"/>
    <m/>
    <m/>
    <m/>
    <m/>
    <m/>
    <s v="T. White"/>
    <m/>
    <m/>
    <n v="45"/>
    <n v="32"/>
    <n v="4"/>
    <n v="931"/>
    <m/>
    <m/>
    <m/>
    <m/>
    <m/>
    <m/>
    <m/>
    <m/>
    <n v="443"/>
    <n v="1"/>
    <n v="1"/>
    <n v="1"/>
    <n v="0"/>
    <n v="32"/>
    <m/>
    <m/>
  </r>
  <r>
    <m/>
    <x v="23"/>
    <s v="A-493-0078"/>
    <n v="1228"/>
    <x v="0"/>
    <d v="2026-07-27T00:00:00"/>
    <d v="2026-07-30T00:00:00"/>
    <m/>
    <d v="1899-12-30T10:00:00"/>
    <m/>
    <m/>
    <m/>
    <m/>
    <m/>
    <s v="T. White"/>
    <m/>
    <m/>
    <n v="45"/>
    <n v="32"/>
    <n v="4"/>
    <n v="931"/>
    <m/>
    <m/>
    <m/>
    <m/>
    <m/>
    <m/>
    <m/>
    <m/>
    <n v="457"/>
    <n v="1"/>
    <n v="1"/>
    <n v="1"/>
    <n v="0"/>
    <n v="32"/>
    <m/>
    <m/>
  </r>
  <r>
    <m/>
    <x v="23"/>
    <s v="A-493-0078"/>
    <n v="1228"/>
    <x v="0"/>
    <d v="2026-08-10T00:00:00"/>
    <d v="2026-08-14T00:00:00"/>
    <d v="1899-12-30T08:00:00"/>
    <m/>
    <m/>
    <m/>
    <m/>
    <m/>
    <m/>
    <s v="T. White"/>
    <m/>
    <m/>
    <n v="45"/>
    <n v="32"/>
    <n v="4"/>
    <m/>
    <m/>
    <m/>
    <m/>
    <m/>
    <m/>
    <m/>
    <m/>
    <m/>
    <n v="472"/>
    <n v="1"/>
    <n v="1"/>
    <n v="1"/>
    <n v="0"/>
    <n v="32"/>
    <m/>
    <m/>
  </r>
  <r>
    <m/>
    <x v="23"/>
    <s v="A-493-0078"/>
    <n v="1228"/>
    <x v="0"/>
    <d v="2026-08-24T00:00:00"/>
    <d v="2026-08-27T00:00:00"/>
    <m/>
    <d v="1899-12-30T12:00:00"/>
    <m/>
    <m/>
    <m/>
    <m/>
    <m/>
    <s v="T. White"/>
    <m/>
    <m/>
    <n v="45"/>
    <n v="32"/>
    <n v="4"/>
    <n v="1014"/>
    <m/>
    <m/>
    <m/>
    <m/>
    <m/>
    <m/>
    <m/>
    <m/>
    <n v="485"/>
    <n v="1"/>
    <n v="1"/>
    <n v="1"/>
    <n v="0"/>
    <n v="32"/>
    <m/>
    <m/>
  </r>
  <r>
    <m/>
    <x v="23"/>
    <s v="A-493-0078"/>
    <n v="1228"/>
    <x v="0"/>
    <d v="2026-09-21T00:00:00"/>
    <d v="2026-09-24T00:00:00"/>
    <m/>
    <d v="1899-12-30T07:00:00"/>
    <m/>
    <m/>
    <m/>
    <m/>
    <m/>
    <s v="T. White"/>
    <m/>
    <m/>
    <n v="45"/>
    <n v="32"/>
    <n v="4"/>
    <n v="601"/>
    <m/>
    <m/>
    <m/>
    <m/>
    <m/>
    <m/>
    <m/>
    <m/>
    <n v="513"/>
    <n v="1"/>
    <n v="1"/>
    <n v="1"/>
    <n v="0"/>
    <n v="32"/>
    <m/>
    <m/>
  </r>
  <r>
    <m/>
    <x v="24"/>
    <s v="A-493-0078"/>
    <n v="1228"/>
    <x v="5"/>
    <d v="2025-12-01T00:00:00"/>
    <d v="2025-12-05T00:00:00"/>
    <d v="1899-12-30T08:00:00"/>
    <m/>
    <m/>
    <m/>
    <m/>
    <m/>
    <m/>
    <s v="T. White"/>
    <m/>
    <m/>
    <n v="30"/>
    <n v="32"/>
    <n v="4"/>
    <n v="0"/>
    <m/>
    <m/>
    <m/>
    <m/>
    <m/>
    <m/>
    <m/>
    <m/>
    <n v="220"/>
    <n v="1"/>
    <n v="1"/>
    <n v="1"/>
    <n v="0"/>
    <n v="32"/>
    <m/>
    <m/>
  </r>
  <r>
    <m/>
    <x v="24"/>
    <s v="A-493-0078"/>
    <n v="1228"/>
    <x v="9"/>
    <d v="2026-01-12T00:00:00"/>
    <d v="2026-01-16T00:00:00"/>
    <m/>
    <d v="1899-12-30T19:00:00"/>
    <m/>
    <m/>
    <m/>
    <m/>
    <m/>
    <s v="T. White"/>
    <m/>
    <m/>
    <n v="30"/>
    <n v="32"/>
    <n v="4"/>
    <n v="0"/>
    <m/>
    <m/>
    <m/>
    <m/>
    <m/>
    <m/>
    <m/>
    <m/>
    <n v="262"/>
    <n v="1"/>
    <n v="1"/>
    <n v="1"/>
    <n v="0"/>
    <n v="32"/>
    <m/>
    <m/>
  </r>
  <r>
    <m/>
    <x v="24"/>
    <s v="A-493-0078"/>
    <n v="1228"/>
    <x v="3"/>
    <d v="2026-03-30T00:00:00"/>
    <d v="2026-04-03T00:00:00"/>
    <d v="1899-12-30T08:00:00"/>
    <m/>
    <m/>
    <m/>
    <m/>
    <m/>
    <m/>
    <s v="T. White"/>
    <m/>
    <m/>
    <n v="30"/>
    <n v="32"/>
    <n v="4"/>
    <n v="0"/>
    <m/>
    <m/>
    <m/>
    <m/>
    <m/>
    <m/>
    <m/>
    <m/>
    <n v="339"/>
    <n v="1"/>
    <n v="1"/>
    <n v="1"/>
    <n v="0"/>
    <n v="32"/>
    <m/>
    <m/>
  </r>
  <r>
    <m/>
    <x v="24"/>
    <s v="A-493-0078"/>
    <n v="1228"/>
    <x v="3"/>
    <d v="2026-05-04T00:00:00"/>
    <d v="2025-05-08T00:00:00"/>
    <m/>
    <d v="1899-12-30T08:00:00"/>
    <m/>
    <m/>
    <m/>
    <m/>
    <m/>
    <s v="T. White"/>
    <m/>
    <m/>
    <n v="30"/>
    <n v="32"/>
    <n v="4"/>
    <n v="0"/>
    <m/>
    <m/>
    <m/>
    <m/>
    <m/>
    <m/>
    <m/>
    <m/>
    <n v="9"/>
    <n v="1"/>
    <n v="1"/>
    <n v="1"/>
    <n v="0"/>
    <n v="32"/>
    <m/>
    <m/>
  </r>
  <r>
    <m/>
    <x v="24"/>
    <s v="A-493-0078"/>
    <n v="1228"/>
    <x v="2"/>
    <d v="2026-09-14T00:00:00"/>
    <d v="2026-09-18T00:00:00"/>
    <m/>
    <d v="1899-12-30T07:00:00"/>
    <m/>
    <m/>
    <m/>
    <m/>
    <m/>
    <s v="T. White"/>
    <m/>
    <m/>
    <n v="30"/>
    <n v="32"/>
    <n v="4"/>
    <n v="0"/>
    <m/>
    <m/>
    <m/>
    <m/>
    <m/>
    <m/>
    <m/>
    <m/>
    <n v="507"/>
    <n v="1"/>
    <n v="1"/>
    <n v="1"/>
    <n v="0"/>
    <n v="32"/>
    <m/>
    <m/>
  </r>
  <r>
    <m/>
    <x v="25"/>
    <s v="A-493-0085"/>
    <n v="3555"/>
    <x v="0"/>
    <d v="2025-11-17T00:00:00"/>
    <d v="2025-11-20T00:00:00"/>
    <m/>
    <d v="1899-12-30T12:00:00"/>
    <m/>
    <m/>
    <m/>
    <m/>
    <m/>
    <s v="B. Jung"/>
    <m/>
    <m/>
    <n v="45"/>
    <n v="32"/>
    <n v="4"/>
    <n v="688"/>
    <m/>
    <m/>
    <m/>
    <m/>
    <m/>
    <m/>
    <m/>
    <m/>
    <n v="205"/>
    <n v="1"/>
    <n v="1"/>
    <n v="1"/>
    <n v="0"/>
    <n v="32"/>
    <m/>
    <m/>
  </r>
  <r>
    <m/>
    <x v="25"/>
    <s v="A-493-0085"/>
    <n v="3555"/>
    <x v="0"/>
    <d v="2026-01-12T00:00:00"/>
    <d v="2026-01-15T00:00:00"/>
    <m/>
    <d v="1899-12-30T12:00:00"/>
    <m/>
    <m/>
    <m/>
    <m/>
    <m/>
    <s v="B. Jung"/>
    <m/>
    <m/>
    <n v="45"/>
    <n v="32"/>
    <n v="4"/>
    <n v="688"/>
    <m/>
    <m/>
    <m/>
    <m/>
    <m/>
    <m/>
    <m/>
    <m/>
    <n v="261"/>
    <n v="1"/>
    <n v="1"/>
    <n v="1"/>
    <n v="0"/>
    <n v="32"/>
    <m/>
    <m/>
  </r>
  <r>
    <s v="Possible pilot of updated material"/>
    <x v="25"/>
    <s v="A-493-0085"/>
    <n v="3555"/>
    <x v="0"/>
    <d v="2026-03-23T00:00:00"/>
    <d v="2026-03-26T00:00:00"/>
    <m/>
    <d v="1899-12-30T12:00:00"/>
    <m/>
    <m/>
    <m/>
    <m/>
    <m/>
    <s v="B. Jung"/>
    <s v="A. Harris"/>
    <m/>
    <n v="45"/>
    <n v="32"/>
    <n v="4"/>
    <n v="688"/>
    <m/>
    <m/>
    <m/>
    <m/>
    <m/>
    <m/>
    <m/>
    <m/>
    <n v="331"/>
    <n v="1"/>
    <n v="1"/>
    <n v="1"/>
    <n v="1"/>
    <n v="16"/>
    <m/>
    <m/>
  </r>
  <r>
    <s v="Evening Class "/>
    <x v="25"/>
    <s v="A-493-0085"/>
    <n v="3555"/>
    <x v="0"/>
    <d v="2026-05-26T00:00:00"/>
    <d v="2026-05-29T00:00:00"/>
    <m/>
    <d v="1899-12-30T12:00:00"/>
    <m/>
    <m/>
    <m/>
    <m/>
    <m/>
    <s v="B. Jung"/>
    <m/>
    <m/>
    <n v="45"/>
    <n v="32"/>
    <n v="4"/>
    <n v="688"/>
    <m/>
    <m/>
    <m/>
    <m/>
    <m/>
    <m/>
    <m/>
    <m/>
    <n v="395"/>
    <n v="1"/>
    <n v="1"/>
    <n v="1"/>
    <n v="0"/>
    <n v="32"/>
    <m/>
    <m/>
  </r>
  <r>
    <m/>
    <x v="25"/>
    <s v="A-493-0085"/>
    <n v="3555"/>
    <x v="0"/>
    <d v="2026-07-27T00:00:00"/>
    <d v="2026-07-30T00:00:00"/>
    <m/>
    <d v="1899-12-30T08:00:00"/>
    <m/>
    <m/>
    <m/>
    <m/>
    <m/>
    <s v="B. Jung"/>
    <m/>
    <m/>
    <n v="45"/>
    <n v="32"/>
    <n v="4"/>
    <n v="397"/>
    <m/>
    <m/>
    <m/>
    <m/>
    <m/>
    <m/>
    <m/>
    <m/>
    <n v="457"/>
    <n v="1"/>
    <n v="1"/>
    <n v="1"/>
    <n v="0"/>
    <n v="32"/>
    <m/>
    <m/>
  </r>
  <r>
    <m/>
    <x v="25"/>
    <s v="A-493-0085"/>
    <n v="3555"/>
    <x v="0"/>
    <d v="2026-08-24T00:00:00"/>
    <d v="2026-08-27T00:00:00"/>
    <m/>
    <d v="1899-12-30T12:00:00"/>
    <m/>
    <m/>
    <m/>
    <m/>
    <m/>
    <s v="B. Jung"/>
    <m/>
    <m/>
    <n v="45"/>
    <n v="32"/>
    <n v="4"/>
    <n v="688"/>
    <m/>
    <m/>
    <m/>
    <m/>
    <m/>
    <m/>
    <m/>
    <m/>
    <n v="485"/>
    <n v="1"/>
    <n v="1"/>
    <n v="1"/>
    <n v="0"/>
    <n v="32"/>
    <m/>
    <m/>
  </r>
  <r>
    <m/>
    <x v="25"/>
    <s v="A-493-0085"/>
    <n v="3555"/>
    <x v="0"/>
    <d v="2026-02-23T00:00:00"/>
    <d v="2026-02-26T00:00:00"/>
    <m/>
    <d v="1899-12-30T19:00:00"/>
    <m/>
    <m/>
    <m/>
    <m/>
    <m/>
    <s v="LT Andrew"/>
    <m/>
    <m/>
    <n v="45"/>
    <n v="32"/>
    <n v="4"/>
    <n v="166"/>
    <m/>
    <m/>
    <m/>
    <m/>
    <m/>
    <m/>
    <m/>
    <m/>
    <n v="303"/>
    <n v="1"/>
    <n v="1"/>
    <n v="1"/>
    <n v="0"/>
    <n v="32"/>
    <m/>
    <m/>
  </r>
  <r>
    <m/>
    <x v="25"/>
    <s v="A-493-0085"/>
    <n v="3555"/>
    <x v="0"/>
    <d v="2026-06-22T00:00:00"/>
    <d v="2026-06-25T00:00:00"/>
    <m/>
    <d v="1899-12-30T12:00:00"/>
    <m/>
    <m/>
    <m/>
    <m/>
    <m/>
    <s v="W. Mitchell"/>
    <m/>
    <m/>
    <n v="45"/>
    <n v="32"/>
    <n v="4"/>
    <n v="688"/>
    <m/>
    <m/>
    <m/>
    <m/>
    <m/>
    <m/>
    <m/>
    <m/>
    <n v="422"/>
    <n v="1"/>
    <n v="1"/>
    <n v="1"/>
    <n v="0"/>
    <n v="32"/>
    <m/>
    <m/>
  </r>
  <r>
    <m/>
    <x v="25"/>
    <s v="A-493-0085"/>
    <n v="3555"/>
    <x v="0"/>
    <d v="2026-09-21T00:00:00"/>
    <d v="2026-09-24T00:00:00"/>
    <m/>
    <d v="1899-12-30T19:00:00"/>
    <m/>
    <m/>
    <m/>
    <m/>
    <m/>
    <s v="W. Mitchell"/>
    <m/>
    <m/>
    <n v="45"/>
    <n v="32"/>
    <n v="4"/>
    <n v="166"/>
    <m/>
    <m/>
    <m/>
    <m/>
    <m/>
    <m/>
    <m/>
    <m/>
    <n v="513"/>
    <n v="1"/>
    <n v="1"/>
    <n v="1"/>
    <n v="0"/>
    <n v="32"/>
    <m/>
    <m/>
  </r>
  <r>
    <m/>
    <x v="26"/>
    <s v="A-570-0100"/>
    <s v="18B7"/>
    <x v="0"/>
    <d v="2025-10-27T00:00:00"/>
    <d v="2025-10-28T00:00:00"/>
    <m/>
    <d v="1899-12-30T08:00:00"/>
    <m/>
    <m/>
    <m/>
    <m/>
    <m/>
    <s v="LS1 Scoggins"/>
    <m/>
    <m/>
    <n v="45"/>
    <n v="16"/>
    <n v="2"/>
    <n v="326"/>
    <m/>
    <m/>
    <m/>
    <m/>
    <m/>
    <m/>
    <m/>
    <m/>
    <n v="182"/>
    <n v="1"/>
    <n v="1"/>
    <n v="1"/>
    <n v="0"/>
    <n v="16"/>
    <m/>
    <m/>
  </r>
  <r>
    <m/>
    <x v="26"/>
    <s v="A-570-0100"/>
    <s v="18B7"/>
    <x v="0"/>
    <d v="2025-11-17T00:00:00"/>
    <d v="2025-11-18T00:00:00"/>
    <m/>
    <d v="1899-12-30T19:00:00"/>
    <m/>
    <m/>
    <m/>
    <m/>
    <m/>
    <s v="LTJG Bozenski"/>
    <m/>
    <m/>
    <n v="45"/>
    <n v="16"/>
    <n v="2"/>
    <n v="126"/>
    <m/>
    <m/>
    <m/>
    <m/>
    <m/>
    <m/>
    <m/>
    <m/>
    <n v="203"/>
    <n v="1"/>
    <n v="1"/>
    <n v="1"/>
    <n v="0"/>
    <n v="16"/>
    <m/>
    <m/>
  </r>
  <r>
    <m/>
    <x v="26"/>
    <s v="A-570-0100"/>
    <s v="18B7"/>
    <x v="0"/>
    <d v="2025-12-08T00:00:00"/>
    <d v="2025-12-09T00:00:00"/>
    <m/>
    <d v="1899-12-30T12:00:00"/>
    <m/>
    <m/>
    <m/>
    <m/>
    <m/>
    <s v="LTJG Bozenski"/>
    <m/>
    <m/>
    <n v="45"/>
    <n v="16"/>
    <n v="2"/>
    <n v="663"/>
    <m/>
    <m/>
    <m/>
    <m/>
    <m/>
    <m/>
    <m/>
    <m/>
    <n v="224"/>
    <n v="1"/>
    <n v="1"/>
    <n v="1"/>
    <n v="0"/>
    <n v="16"/>
    <m/>
    <m/>
  </r>
  <r>
    <m/>
    <x v="26"/>
    <s v="A-570-0100"/>
    <s v="18B7"/>
    <x v="0"/>
    <d v="2026-01-12T00:00:00"/>
    <d v="2026-01-13T00:00:00"/>
    <m/>
    <d v="1899-12-30T08:00:00"/>
    <m/>
    <m/>
    <m/>
    <m/>
    <m/>
    <s v="TBD"/>
    <m/>
    <m/>
    <n v="45"/>
    <n v="16"/>
    <n v="2"/>
    <n v="326"/>
    <m/>
    <m/>
    <m/>
    <m/>
    <m/>
    <m/>
    <m/>
    <m/>
    <n v="259"/>
    <n v="1"/>
    <n v="1"/>
    <n v="1"/>
    <n v="0"/>
    <n v="16"/>
    <m/>
    <m/>
  </r>
  <r>
    <m/>
    <x v="26"/>
    <s v="A-570-0100"/>
    <s v="18B7"/>
    <x v="0"/>
    <d v="2026-01-26T00:00:00"/>
    <d v="2026-01-27T00:00:00"/>
    <m/>
    <d v="1899-12-30T19:00:00"/>
    <m/>
    <m/>
    <m/>
    <m/>
    <m/>
    <s v="TBD"/>
    <m/>
    <m/>
    <n v="45"/>
    <n v="16"/>
    <n v="2"/>
    <n v="126"/>
    <m/>
    <m/>
    <m/>
    <m/>
    <m/>
    <m/>
    <m/>
    <m/>
    <n v="273"/>
    <n v="1"/>
    <n v="1"/>
    <n v="1"/>
    <n v="0"/>
    <n v="16"/>
    <m/>
    <m/>
  </r>
  <r>
    <m/>
    <x v="26"/>
    <s v="A-570-0100"/>
    <s v="18B7"/>
    <x v="0"/>
    <d v="2026-02-02T00:00:00"/>
    <d v="2026-02-03T00:00:00"/>
    <m/>
    <d v="1899-12-30T12:00:00"/>
    <m/>
    <m/>
    <m/>
    <m/>
    <m/>
    <s v="TBD"/>
    <m/>
    <m/>
    <n v="45"/>
    <n v="16"/>
    <n v="2"/>
    <n v="663"/>
    <m/>
    <m/>
    <m/>
    <m/>
    <m/>
    <m/>
    <m/>
    <m/>
    <n v="280"/>
    <n v="1"/>
    <n v="1"/>
    <n v="1"/>
    <n v="0"/>
    <n v="16"/>
    <m/>
    <m/>
  </r>
  <r>
    <m/>
    <x v="26"/>
    <s v="A-570-0100"/>
    <s v="18B7"/>
    <x v="0"/>
    <d v="2026-02-23T00:00:00"/>
    <d v="2026-02-24T00:00:00"/>
    <m/>
    <d v="1899-12-30T12:00:00"/>
    <m/>
    <m/>
    <m/>
    <m/>
    <m/>
    <s v="TBD"/>
    <m/>
    <m/>
    <n v="45"/>
    <n v="16"/>
    <n v="2"/>
    <n v="663"/>
    <m/>
    <m/>
    <m/>
    <m/>
    <m/>
    <m/>
    <m/>
    <m/>
    <n v="301"/>
    <n v="1"/>
    <n v="1"/>
    <n v="1"/>
    <n v="0"/>
    <n v="16"/>
    <m/>
    <m/>
  </r>
  <r>
    <m/>
    <x v="26"/>
    <s v="A-570-0100"/>
    <s v="18B7"/>
    <x v="0"/>
    <d v="2026-03-02T00:00:00"/>
    <d v="2026-03-03T00:00:00"/>
    <m/>
    <d v="1899-12-30T12:00:00"/>
    <m/>
    <m/>
    <m/>
    <m/>
    <m/>
    <s v="TBD"/>
    <m/>
    <m/>
    <n v="45"/>
    <n v="16"/>
    <n v="2"/>
    <n v="663"/>
    <m/>
    <m/>
    <m/>
    <m/>
    <m/>
    <m/>
    <m/>
    <m/>
    <n v="308"/>
    <n v="1"/>
    <n v="1"/>
    <n v="1"/>
    <n v="0"/>
    <n v="16"/>
    <m/>
    <m/>
  </r>
  <r>
    <m/>
    <x v="26"/>
    <s v="A-570-0100"/>
    <s v="18B7"/>
    <x v="0"/>
    <d v="2026-03-16T00:00:00"/>
    <d v="2026-03-17T00:00:00"/>
    <m/>
    <d v="1899-12-30T12:00:00"/>
    <m/>
    <m/>
    <m/>
    <m/>
    <m/>
    <s v="TBD"/>
    <m/>
    <m/>
    <n v="45"/>
    <n v="16"/>
    <n v="2"/>
    <n v="663"/>
    <m/>
    <m/>
    <m/>
    <m/>
    <m/>
    <m/>
    <m/>
    <m/>
    <n v="322"/>
    <n v="1"/>
    <n v="1"/>
    <n v="1"/>
    <n v="0"/>
    <n v="16"/>
    <m/>
    <m/>
  </r>
  <r>
    <m/>
    <x v="26"/>
    <s v="A-570-0100"/>
    <s v="18B7"/>
    <x v="0"/>
    <d v="2026-04-06T00:00:00"/>
    <d v="2026-04-07T00:00:00"/>
    <m/>
    <d v="1899-12-30T08:00:00"/>
    <m/>
    <m/>
    <m/>
    <m/>
    <m/>
    <s v="TBD"/>
    <m/>
    <m/>
    <n v="45"/>
    <n v="16"/>
    <n v="2"/>
    <n v="326"/>
    <m/>
    <m/>
    <m/>
    <m/>
    <m/>
    <m/>
    <m/>
    <m/>
    <n v="343"/>
    <n v="1"/>
    <n v="1"/>
    <n v="1"/>
    <n v="0"/>
    <n v="16"/>
    <m/>
    <m/>
  </r>
  <r>
    <m/>
    <x v="26"/>
    <s v="A-570-0100"/>
    <s v="18B7"/>
    <x v="0"/>
    <d v="2026-05-11T00:00:00"/>
    <d v="2026-05-12T00:00:00"/>
    <m/>
    <d v="1899-12-30T19:00:00"/>
    <m/>
    <m/>
    <m/>
    <m/>
    <m/>
    <s v="TBD"/>
    <m/>
    <m/>
    <n v="45"/>
    <n v="16"/>
    <n v="2"/>
    <n v="126"/>
    <m/>
    <m/>
    <m/>
    <m/>
    <m/>
    <m/>
    <m/>
    <m/>
    <n v="378"/>
    <n v="1"/>
    <n v="1"/>
    <n v="1"/>
    <n v="0"/>
    <n v="16"/>
    <m/>
    <m/>
  </r>
  <r>
    <m/>
    <x v="26"/>
    <s v="A-570-0100"/>
    <s v="18B7"/>
    <x v="0"/>
    <d v="2026-06-08T00:00:00"/>
    <d v="2026-06-09T00:00:00"/>
    <m/>
    <d v="1899-12-30T12:00:00"/>
    <m/>
    <m/>
    <m/>
    <m/>
    <m/>
    <s v="TBD"/>
    <m/>
    <m/>
    <n v="45"/>
    <n v="16"/>
    <n v="2"/>
    <n v="663"/>
    <m/>
    <m/>
    <m/>
    <m/>
    <m/>
    <m/>
    <m/>
    <m/>
    <n v="406"/>
    <n v="1"/>
    <n v="1"/>
    <n v="1"/>
    <n v="0"/>
    <n v="16"/>
    <m/>
    <m/>
  </r>
  <r>
    <m/>
    <x v="26"/>
    <s v="A-570-0100"/>
    <s v="18B7"/>
    <x v="0"/>
    <d v="2026-07-06T00:00:00"/>
    <d v="2026-07-07T00:00:00"/>
    <m/>
    <d v="1899-12-30T08:00:00"/>
    <m/>
    <m/>
    <m/>
    <m/>
    <m/>
    <s v="TBD"/>
    <m/>
    <m/>
    <n v="45"/>
    <n v="16"/>
    <n v="2"/>
    <n v="326"/>
    <m/>
    <m/>
    <m/>
    <m/>
    <m/>
    <m/>
    <m/>
    <m/>
    <n v="434"/>
    <n v="1"/>
    <n v="1"/>
    <n v="1"/>
    <n v="0"/>
    <n v="16"/>
    <m/>
    <m/>
  </r>
  <r>
    <m/>
    <x v="26"/>
    <s v="A-570-0100"/>
    <s v="18B7"/>
    <x v="0"/>
    <d v="2026-08-10T00:00:00"/>
    <d v="2026-08-11T00:00:00"/>
    <m/>
    <d v="1899-12-30T19:00:00"/>
    <m/>
    <m/>
    <m/>
    <m/>
    <m/>
    <s v="TBD"/>
    <m/>
    <m/>
    <n v="45"/>
    <n v="16"/>
    <n v="2"/>
    <n v="126"/>
    <m/>
    <m/>
    <m/>
    <m/>
    <m/>
    <m/>
    <m/>
    <m/>
    <n v="469"/>
    <n v="1"/>
    <n v="1"/>
    <n v="1"/>
    <n v="0"/>
    <n v="16"/>
    <m/>
    <m/>
  </r>
  <r>
    <m/>
    <x v="26"/>
    <s v="A-570-0100"/>
    <s v="18B7"/>
    <x v="0"/>
    <d v="2026-08-24T00:00:00"/>
    <d v="2026-08-25T00:00:00"/>
    <m/>
    <d v="1899-12-30T12:00:00"/>
    <m/>
    <m/>
    <m/>
    <m/>
    <m/>
    <s v="TBD"/>
    <m/>
    <m/>
    <n v="45"/>
    <n v="16"/>
    <n v="2"/>
    <n v="663"/>
    <m/>
    <m/>
    <m/>
    <m/>
    <m/>
    <m/>
    <m/>
    <m/>
    <n v="483"/>
    <n v="1"/>
    <n v="1"/>
    <n v="1"/>
    <n v="0"/>
    <n v="16"/>
    <m/>
    <m/>
  </r>
  <r>
    <m/>
    <x v="26"/>
    <s v="A-570-0100"/>
    <s v="18B7"/>
    <x v="0"/>
    <d v="2026-09-14T00:00:00"/>
    <d v="2026-09-15T00:00:00"/>
    <m/>
    <d v="1899-12-30T12:00:00"/>
    <m/>
    <m/>
    <m/>
    <m/>
    <m/>
    <s v="TBD"/>
    <m/>
    <m/>
    <n v="45"/>
    <n v="16"/>
    <n v="2"/>
    <n v="663"/>
    <m/>
    <m/>
    <m/>
    <m/>
    <m/>
    <m/>
    <m/>
    <m/>
    <n v="504"/>
    <n v="1"/>
    <n v="1"/>
    <n v="1"/>
    <n v="0"/>
    <n v="16"/>
    <m/>
    <m/>
  </r>
  <r>
    <m/>
    <x v="26"/>
    <s v="A-570-0100"/>
    <s v="18B7"/>
    <x v="0"/>
    <d v="2026-09-28T00:00:00"/>
    <d v="2026-09-29T00:00:00"/>
    <m/>
    <d v="1899-12-30T12:00:00"/>
    <m/>
    <m/>
    <m/>
    <m/>
    <m/>
    <s v="TBD"/>
    <m/>
    <m/>
    <n v="45"/>
    <n v="16"/>
    <n v="2"/>
    <n v="663"/>
    <m/>
    <m/>
    <m/>
    <m/>
    <m/>
    <m/>
    <m/>
    <m/>
    <n v="518"/>
    <n v="1"/>
    <n v="1"/>
    <n v="1"/>
    <n v="0"/>
    <n v="16"/>
    <m/>
    <m/>
  </r>
  <r>
    <s v="PDS Prep Week"/>
    <x v="27"/>
    <s v="PDS"/>
    <s v="PDS"/>
    <x v="19"/>
    <d v="2026-04-13T00:00:00"/>
    <d v="2026-04-17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353"/>
    <n v="0"/>
    <n v="1"/>
    <n v="1"/>
    <n v="0"/>
    <n v="0"/>
    <m/>
    <m/>
  </r>
  <r>
    <s v="PDS Week"/>
    <x v="27"/>
    <s v="PDS"/>
    <s v="PDS"/>
    <x v="19"/>
    <d v="2026-04-20T00:00:00"/>
    <d v="2026-04-24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360"/>
    <n v="0"/>
    <n v="1"/>
    <n v="1"/>
    <n v="0"/>
    <n v="0"/>
    <m/>
    <m/>
  </r>
  <r>
    <s v="USMC-Do not spread quotas"/>
    <x v="28"/>
    <s v="A-493-0072"/>
    <s v="713U"/>
    <x v="20"/>
    <d v="2026-01-05T00:00:00"/>
    <d v="2026-01-09T00:00:00"/>
    <d v="1899-12-30T08:00:00"/>
    <m/>
    <m/>
    <m/>
    <m/>
    <m/>
    <m/>
    <s v="A. Harris"/>
    <m/>
    <s v="LS1 Scoggins"/>
    <n v="30"/>
    <n v="40"/>
    <n v="5"/>
    <n v="36"/>
    <m/>
    <m/>
    <m/>
    <m/>
    <m/>
    <m/>
    <m/>
    <m/>
    <n v="255"/>
    <n v="1"/>
    <n v="1"/>
    <n v="1"/>
    <n v="0"/>
    <n v="40"/>
    <m/>
    <m/>
  </r>
  <r>
    <m/>
    <x v="28"/>
    <s v="A-493-0072"/>
    <s v="713U"/>
    <x v="9"/>
    <d v="2026-06-22T00:00:00"/>
    <d v="2026-06-26T00:00:00"/>
    <d v="1899-12-30T08:00:00"/>
    <m/>
    <m/>
    <m/>
    <m/>
    <m/>
    <m/>
    <s v="A. Harris"/>
    <m/>
    <s v="Nicole"/>
    <n v="30"/>
    <n v="40"/>
    <n v="5"/>
    <n v="56"/>
    <m/>
    <m/>
    <m/>
    <m/>
    <m/>
    <m/>
    <m/>
    <m/>
    <n v="423"/>
    <n v="1"/>
    <n v="1"/>
    <n v="1"/>
    <n v="0"/>
    <n v="40"/>
    <m/>
    <m/>
  </r>
  <r>
    <m/>
    <x v="28"/>
    <s v="A-493-0072"/>
    <s v="713U"/>
    <x v="2"/>
    <d v="2026-09-14T00:00:00"/>
    <d v="2026-09-18T00:00:00"/>
    <d v="1899-12-30T08:00:00"/>
    <m/>
    <m/>
    <m/>
    <m/>
    <m/>
    <m/>
    <s v="A. Harris"/>
    <m/>
    <s v="T. White"/>
    <n v="30"/>
    <n v="40"/>
    <n v="5"/>
    <n v="99"/>
    <m/>
    <m/>
    <m/>
    <m/>
    <m/>
    <m/>
    <m/>
    <m/>
    <n v="507"/>
    <n v="1"/>
    <n v="1"/>
    <n v="1"/>
    <n v="0"/>
    <n v="40"/>
    <m/>
    <m/>
  </r>
  <r>
    <m/>
    <x v="28"/>
    <s v="A-493-0072"/>
    <s v="713U"/>
    <x v="3"/>
    <d v="2025-10-06T00:00:00"/>
    <d v="2025-10-10T00:00:00"/>
    <d v="1899-12-30T08:00:00"/>
    <m/>
    <m/>
    <m/>
    <m/>
    <m/>
    <m/>
    <s v="B. Jung"/>
    <m/>
    <m/>
    <n v="30"/>
    <n v="40"/>
    <n v="5"/>
    <n v="178"/>
    <m/>
    <m/>
    <m/>
    <m/>
    <m/>
    <m/>
    <m/>
    <m/>
    <n v="164"/>
    <n v="1"/>
    <n v="1"/>
    <n v="1"/>
    <n v="0"/>
    <n v="40"/>
    <m/>
    <m/>
  </r>
  <r>
    <s v="USMC?"/>
    <x v="28"/>
    <s v="A-493-0072"/>
    <s v="713U"/>
    <x v="21"/>
    <d v="2026-05-04T00:00:00"/>
    <d v="2026-05-08T00:00:00"/>
    <d v="1899-12-30T08:00:00"/>
    <m/>
    <m/>
    <m/>
    <m/>
    <m/>
    <m/>
    <s v="B. Jung"/>
    <m/>
    <s v="LSC Kitivi"/>
    <n v="30"/>
    <n v="40"/>
    <n v="5"/>
    <n v="4"/>
    <m/>
    <m/>
    <m/>
    <m/>
    <m/>
    <m/>
    <m/>
    <m/>
    <n v="374"/>
    <n v="1"/>
    <n v="1"/>
    <n v="1"/>
    <n v="0"/>
    <n v="40"/>
    <m/>
    <m/>
  </r>
  <r>
    <s v="USMC?"/>
    <x v="28"/>
    <s v="A-493-0072"/>
    <s v="713U"/>
    <x v="22"/>
    <d v="2026-05-11T00:00:00"/>
    <d v="2026-05-15T00:00:00"/>
    <d v="1899-12-30T08:00:00"/>
    <m/>
    <m/>
    <m/>
    <m/>
    <m/>
    <m/>
    <s v="B. Jung"/>
    <m/>
    <s v="LSC Kitivi"/>
    <n v="30"/>
    <n v="40"/>
    <n v="5"/>
    <n v="33"/>
    <m/>
    <m/>
    <m/>
    <m/>
    <m/>
    <m/>
    <m/>
    <m/>
    <n v="381"/>
    <n v="1"/>
    <n v="1"/>
    <n v="1"/>
    <n v="0"/>
    <n v="40"/>
    <m/>
    <m/>
  </r>
  <r>
    <s v="USMC?"/>
    <x v="28"/>
    <s v="A-493-0072"/>
    <s v="713U"/>
    <x v="23"/>
    <d v="2026-08-03T00:00:00"/>
    <d v="2026-08-07T00:00:00"/>
    <d v="1899-12-30T08:00:00"/>
    <m/>
    <m/>
    <m/>
    <m/>
    <m/>
    <m/>
    <s v="B. Jung"/>
    <m/>
    <s v="LSC Kitivi"/>
    <n v="30"/>
    <n v="40"/>
    <n v="5"/>
    <n v="15"/>
    <m/>
    <m/>
    <m/>
    <m/>
    <m/>
    <m/>
    <m/>
    <m/>
    <n v="465"/>
    <n v="1"/>
    <n v="1"/>
    <n v="1"/>
    <n v="0"/>
    <n v="40"/>
    <m/>
    <m/>
  </r>
  <r>
    <s v="USMC?"/>
    <x v="28"/>
    <s v="A-493-0072"/>
    <s v="713U"/>
    <x v="24"/>
    <d v="2026-08-10T00:00:00"/>
    <d v="2026-08-14T00:00:00"/>
    <d v="1899-12-30T08:00:00"/>
    <m/>
    <m/>
    <m/>
    <m/>
    <m/>
    <m/>
    <s v="B. Jung"/>
    <m/>
    <s v="LSC Kitivi"/>
    <n v="30"/>
    <n v="40"/>
    <n v="5"/>
    <n v="15"/>
    <m/>
    <m/>
    <m/>
    <m/>
    <m/>
    <m/>
    <m/>
    <m/>
    <n v="472"/>
    <n v="1"/>
    <n v="1"/>
    <n v="1"/>
    <n v="0"/>
    <n v="40"/>
    <m/>
    <m/>
  </r>
  <r>
    <m/>
    <x v="28"/>
    <s v="A-493-0072"/>
    <s v="713U"/>
    <x v="3"/>
    <d v="2026-04-06T00:00:00"/>
    <d v="2026-04-10T00:00:00"/>
    <d v="1899-12-30T08:00:00"/>
    <m/>
    <m/>
    <m/>
    <m/>
    <m/>
    <m/>
    <s v="K. Seo"/>
    <m/>
    <m/>
    <n v="30"/>
    <n v="40"/>
    <n v="5"/>
    <n v="178"/>
    <m/>
    <m/>
    <m/>
    <m/>
    <m/>
    <m/>
    <m/>
    <m/>
    <n v="346"/>
    <n v="1"/>
    <n v="1"/>
    <n v="1"/>
    <n v="0"/>
    <n v="40"/>
    <m/>
    <m/>
  </r>
  <r>
    <m/>
    <x v="28"/>
    <s v="A-493-0072"/>
    <s v="713U"/>
    <x v="3"/>
    <d v="2026-06-08T00:00:00"/>
    <d v="2026-06-12T00:00:00"/>
    <d v="1899-12-30T08:00:00"/>
    <m/>
    <m/>
    <m/>
    <m/>
    <m/>
    <m/>
    <s v="K. Seo"/>
    <m/>
    <m/>
    <n v="30"/>
    <n v="40"/>
    <n v="5"/>
    <n v="178"/>
    <m/>
    <m/>
    <m/>
    <m/>
    <m/>
    <m/>
    <m/>
    <m/>
    <n v="409"/>
    <n v="1"/>
    <n v="1"/>
    <n v="1"/>
    <n v="0"/>
    <n v="40"/>
    <m/>
    <m/>
  </r>
  <r>
    <m/>
    <x v="28"/>
    <s v="A-493-0072"/>
    <s v="713U"/>
    <x v="3"/>
    <d v="2026-09-21T00:00:00"/>
    <d v="2026-09-25T00:00:00"/>
    <d v="1899-12-30T08:00:00"/>
    <m/>
    <m/>
    <m/>
    <m/>
    <m/>
    <m/>
    <s v="K. Seo"/>
    <m/>
    <m/>
    <n v="30"/>
    <n v="40"/>
    <n v="5"/>
    <n v="178"/>
    <m/>
    <m/>
    <m/>
    <m/>
    <m/>
    <m/>
    <m/>
    <m/>
    <n v="514"/>
    <n v="1"/>
    <n v="1"/>
    <n v="1"/>
    <n v="0"/>
    <n v="40"/>
    <m/>
    <m/>
  </r>
  <r>
    <m/>
    <x v="28"/>
    <s v="A-493-0072"/>
    <s v="713U"/>
    <x v="3"/>
    <d v="2025-10-27T00:00:00"/>
    <d v="2025-10-31T00:00:00"/>
    <d v="1899-12-30T08:00:00"/>
    <m/>
    <m/>
    <m/>
    <m/>
    <m/>
    <m/>
    <s v="LT Andrew"/>
    <m/>
    <m/>
    <n v="30"/>
    <n v="40"/>
    <n v="5"/>
    <n v="178"/>
    <m/>
    <m/>
    <m/>
    <m/>
    <m/>
    <m/>
    <m/>
    <m/>
    <n v="185"/>
    <n v="1"/>
    <n v="1"/>
    <n v="1"/>
    <n v="0"/>
    <n v="40"/>
    <m/>
    <m/>
  </r>
  <r>
    <m/>
    <x v="28"/>
    <s v="A-493-0072"/>
    <s v="713U"/>
    <x v="5"/>
    <d v="2025-12-01T00:00:00"/>
    <d v="2025-12-05T00:00:00"/>
    <d v="1899-12-30T08:00:00"/>
    <m/>
    <m/>
    <m/>
    <m/>
    <m/>
    <m/>
    <s v="LT Andrew"/>
    <m/>
    <s v="T. White"/>
    <n v="30"/>
    <n v="40"/>
    <n v="5"/>
    <n v="265"/>
    <m/>
    <m/>
    <m/>
    <m/>
    <m/>
    <m/>
    <m/>
    <m/>
    <n v="220"/>
    <n v="1"/>
    <n v="1"/>
    <n v="1"/>
    <n v="0"/>
    <n v="40"/>
    <m/>
    <m/>
  </r>
  <r>
    <m/>
    <x v="28"/>
    <s v="A-493-0072"/>
    <s v="713U"/>
    <x v="2"/>
    <d v="2026-01-26T00:00:00"/>
    <d v="2026-01-30T00:00:00"/>
    <d v="1899-12-30T08:00:00"/>
    <m/>
    <m/>
    <m/>
    <m/>
    <m/>
    <m/>
    <s v="LT Andrew"/>
    <m/>
    <m/>
    <n v="30"/>
    <n v="40"/>
    <n v="5"/>
    <n v="99"/>
    <m/>
    <m/>
    <m/>
    <m/>
    <m/>
    <m/>
    <m/>
    <m/>
    <n v="276"/>
    <n v="1"/>
    <n v="1"/>
    <n v="1"/>
    <n v="0"/>
    <n v="40"/>
    <m/>
    <m/>
  </r>
  <r>
    <m/>
    <x v="28"/>
    <s v="A-493-0072"/>
    <s v="713U"/>
    <x v="12"/>
    <d v="2026-02-02T00:00:00"/>
    <d v="2026-02-06T00:00:00"/>
    <d v="1899-12-30T08:00:00"/>
    <m/>
    <m/>
    <m/>
    <m/>
    <m/>
    <m/>
    <s v="LT Andrew"/>
    <m/>
    <m/>
    <n v="30"/>
    <n v="40"/>
    <n v="5"/>
    <n v="50"/>
    <m/>
    <m/>
    <m/>
    <m/>
    <m/>
    <m/>
    <m/>
    <m/>
    <n v="283"/>
    <n v="1"/>
    <n v="1"/>
    <n v="1"/>
    <n v="0"/>
    <n v="40"/>
    <m/>
    <m/>
  </r>
  <r>
    <m/>
    <x v="28"/>
    <s v="A-493-0072"/>
    <s v="713U"/>
    <x v="7"/>
    <d v="2025-11-17T00:00:00"/>
    <d v="2025-11-21T00:00:00"/>
    <d v="1899-12-30T08:00:00"/>
    <m/>
    <m/>
    <m/>
    <m/>
    <m/>
    <m/>
    <s v="W. Mitchell"/>
    <m/>
    <s v="EMC Stroughn"/>
    <n v="30"/>
    <n v="40"/>
    <n v="5"/>
    <n v="33"/>
    <m/>
    <m/>
    <m/>
    <m/>
    <m/>
    <m/>
    <m/>
    <m/>
    <n v="206"/>
    <n v="1"/>
    <n v="1"/>
    <n v="1"/>
    <n v="0"/>
    <n v="40"/>
    <m/>
    <m/>
  </r>
  <r>
    <m/>
    <x v="28"/>
    <s v="A-493-0072"/>
    <s v="713U"/>
    <x v="9"/>
    <d v="2026-01-12T00:00:00"/>
    <d v="2026-01-16T00:00:00"/>
    <d v="1899-12-30T08:00:00"/>
    <m/>
    <m/>
    <m/>
    <m/>
    <m/>
    <m/>
    <s v="W. Mitchell"/>
    <m/>
    <s v="T. White"/>
    <n v="30"/>
    <n v="40"/>
    <n v="5"/>
    <n v="56"/>
    <m/>
    <m/>
    <m/>
    <m/>
    <m/>
    <m/>
    <m/>
    <m/>
    <n v="262"/>
    <n v="1"/>
    <n v="1"/>
    <n v="1"/>
    <n v="0"/>
    <n v="40"/>
    <m/>
    <m/>
  </r>
  <r>
    <m/>
    <x v="28"/>
    <s v="A-493-0072"/>
    <s v="713U"/>
    <x v="15"/>
    <d v="2026-02-23T00:00:00"/>
    <d v="2026-02-27T00:00:00"/>
    <d v="1899-12-30T08:00:00"/>
    <m/>
    <m/>
    <m/>
    <m/>
    <m/>
    <m/>
    <s v="W. Mitchell"/>
    <m/>
    <s v="EMC Stroughn"/>
    <n v="30"/>
    <n v="40"/>
    <n v="5"/>
    <n v="78"/>
    <m/>
    <m/>
    <m/>
    <m/>
    <m/>
    <m/>
    <m/>
    <m/>
    <n v="304"/>
    <n v="1"/>
    <n v="1"/>
    <n v="1"/>
    <n v="0"/>
    <n v="40"/>
    <m/>
    <m/>
  </r>
  <r>
    <m/>
    <x v="28"/>
    <s v="A-493-0072"/>
    <s v="713U"/>
    <x v="25"/>
    <d v="2026-03-02T00:00:00"/>
    <d v="2026-03-06T00:00:00"/>
    <d v="1899-12-30T08:00:00"/>
    <m/>
    <m/>
    <m/>
    <m/>
    <m/>
    <m/>
    <s v="W. Mitchell"/>
    <m/>
    <s v="EMC Stroughn"/>
    <n v="30"/>
    <n v="40"/>
    <n v="5"/>
    <n v="36"/>
    <m/>
    <m/>
    <m/>
    <m/>
    <m/>
    <m/>
    <m/>
    <m/>
    <n v="311"/>
    <n v="1"/>
    <n v="1"/>
    <n v="1"/>
    <n v="0"/>
    <n v="40"/>
    <m/>
    <m/>
  </r>
  <r>
    <m/>
    <x v="28"/>
    <s v="A-493-0072"/>
    <s v="713U"/>
    <x v="5"/>
    <d v="2026-05-11T00:00:00"/>
    <d v="2026-05-15T00:00:00"/>
    <d v="1899-12-30T08:00:00"/>
    <m/>
    <m/>
    <m/>
    <m/>
    <m/>
    <m/>
    <s v="W. Mitchell"/>
    <m/>
    <s v="Amanda"/>
    <n v="30"/>
    <n v="40"/>
    <n v="5"/>
    <n v="265"/>
    <m/>
    <m/>
    <m/>
    <m/>
    <m/>
    <m/>
    <m/>
    <m/>
    <n v="381"/>
    <n v="1"/>
    <n v="1"/>
    <n v="1"/>
    <n v="0"/>
    <n v="40"/>
    <m/>
    <m/>
  </r>
  <r>
    <m/>
    <x v="28"/>
    <s v="A-493-0072"/>
    <s v="713U"/>
    <x v="15"/>
    <d v="2026-07-20T00:00:00"/>
    <d v="2026-07-24T00:00:00"/>
    <d v="1899-12-30T08:00:00"/>
    <m/>
    <m/>
    <m/>
    <m/>
    <m/>
    <m/>
    <s v="W. Mitchell"/>
    <m/>
    <s v="LS1 Scoggins"/>
    <n v="30"/>
    <n v="40"/>
    <n v="5"/>
    <n v="78"/>
    <m/>
    <m/>
    <m/>
    <m/>
    <m/>
    <m/>
    <m/>
    <m/>
    <n v="451"/>
    <n v="1"/>
    <n v="1"/>
    <n v="1"/>
    <n v="0"/>
    <n v="40"/>
    <m/>
    <m/>
  </r>
  <r>
    <m/>
    <x v="28"/>
    <s v="A-493-0072"/>
    <s v="713U"/>
    <x v="5"/>
    <d v="2026-07-27T00:00:00"/>
    <d v="2026-08-31T00:00:00"/>
    <d v="1899-12-30T08:00:00"/>
    <m/>
    <m/>
    <m/>
    <m/>
    <m/>
    <m/>
    <s v="W. Mitchell"/>
    <m/>
    <s v="LS1 Scoggins"/>
    <n v="30"/>
    <n v="40"/>
    <n v="5"/>
    <n v="265"/>
    <m/>
    <m/>
    <m/>
    <m/>
    <m/>
    <m/>
    <m/>
    <m/>
    <n v="489"/>
    <n v="1"/>
    <n v="1"/>
    <n v="1"/>
    <n v="0"/>
    <n v="40"/>
    <m/>
    <m/>
  </r>
  <r>
    <m/>
    <x v="28"/>
    <s v="A-493-0072"/>
    <s v="713U"/>
    <x v="16"/>
    <d v="2026-08-17T00:00:00"/>
    <d v="2026-08-21T00:00:00"/>
    <d v="1899-12-30T08:00:00"/>
    <m/>
    <m/>
    <m/>
    <m/>
    <m/>
    <m/>
    <s v="W. Mitchell"/>
    <m/>
    <s v="Lauren"/>
    <n v="30"/>
    <n v="40"/>
    <n v="5"/>
    <n v="67"/>
    <m/>
    <m/>
    <m/>
    <m/>
    <m/>
    <m/>
    <m/>
    <m/>
    <n v="479"/>
    <n v="1"/>
    <n v="1"/>
    <n v="1"/>
    <n v="0"/>
    <n v="40"/>
    <m/>
    <m/>
  </r>
  <r>
    <m/>
    <x v="28"/>
    <s v="A-493-0072"/>
    <s v="713U"/>
    <x v="26"/>
    <d v="2026-08-24T00:00:00"/>
    <d v="2026-08-28T00:00:00"/>
    <d v="1899-12-30T08:00:00"/>
    <m/>
    <m/>
    <m/>
    <m/>
    <m/>
    <m/>
    <s v="W. Mitchell"/>
    <m/>
    <s v="Lauren"/>
    <n v="30"/>
    <n v="40"/>
    <n v="5"/>
    <m/>
    <n v="66"/>
    <m/>
    <m/>
    <m/>
    <m/>
    <m/>
    <m/>
    <m/>
    <n v="486"/>
    <n v="1"/>
    <n v="1"/>
    <n v="1"/>
    <n v="0"/>
    <n v="40"/>
    <m/>
    <m/>
  </r>
  <r>
    <m/>
    <x v="28"/>
    <s v="A-493-0072"/>
    <s v="713U"/>
    <x v="27"/>
    <d v="2026-09-14T00:00:00"/>
    <d v="2026-09-18T00:00:00"/>
    <d v="1899-12-30T08:00:00"/>
    <m/>
    <m/>
    <m/>
    <m/>
    <m/>
    <m/>
    <s v="W. Mitchell"/>
    <m/>
    <s v="LSC Kitivi"/>
    <n v="30"/>
    <n v="40"/>
    <n v="5"/>
    <n v="69"/>
    <m/>
    <m/>
    <m/>
    <m/>
    <m/>
    <m/>
    <m/>
    <m/>
    <n v="507"/>
    <n v="1"/>
    <n v="1"/>
    <n v="1"/>
    <n v="0"/>
    <n v="40"/>
    <m/>
    <m/>
  </r>
  <r>
    <m/>
    <x v="29"/>
    <s v="A-4J-0019"/>
    <s v="28SL/285M"/>
    <x v="28"/>
    <d v="2025-10-20T00:00:00"/>
    <d v="2025-10-24T00:00:00"/>
    <d v="1899-12-30T07:30:00"/>
    <m/>
    <m/>
    <m/>
    <m/>
    <m/>
    <m/>
    <s v="J. Wilson"/>
    <s v="M. Bailey"/>
    <m/>
    <n v="20"/>
    <n v="40"/>
    <n v="5"/>
    <n v="148"/>
    <m/>
    <m/>
    <m/>
    <m/>
    <m/>
    <m/>
    <m/>
    <m/>
    <n v="178"/>
    <n v="1"/>
    <n v="1"/>
    <n v="1"/>
    <n v="1"/>
    <n v="20"/>
    <m/>
    <m/>
  </r>
  <r>
    <m/>
    <x v="29"/>
    <s v="A-4J-0019"/>
    <s v="28SL/285M"/>
    <x v="28"/>
    <d v="2026-02-23T00:00:00"/>
    <d v="2026-02-27T00:00:00"/>
    <d v="1899-12-30T07:30:00"/>
    <m/>
    <m/>
    <m/>
    <m/>
    <m/>
    <m/>
    <s v="J. Wilson"/>
    <s v="M. Bailey"/>
    <m/>
    <n v="20"/>
    <n v="40"/>
    <n v="5"/>
    <n v="148"/>
    <m/>
    <m/>
    <m/>
    <m/>
    <m/>
    <m/>
    <m/>
    <m/>
    <n v="304"/>
    <n v="1"/>
    <n v="1"/>
    <n v="1"/>
    <n v="1"/>
    <n v="20"/>
    <m/>
    <m/>
  </r>
  <r>
    <m/>
    <x v="29"/>
    <s v="A-4J-0019"/>
    <s v="28SL/285M"/>
    <x v="28"/>
    <d v="2026-05-04T00:00:00"/>
    <d v="2026-05-08T00:00:00"/>
    <d v="1899-12-30T07:30:00"/>
    <m/>
    <m/>
    <m/>
    <m/>
    <m/>
    <m/>
    <s v="J. Wilson"/>
    <s v="M. Bailey"/>
    <m/>
    <n v="20"/>
    <n v="40"/>
    <n v="5"/>
    <n v="148"/>
    <m/>
    <m/>
    <m/>
    <m/>
    <m/>
    <m/>
    <m/>
    <m/>
    <n v="374"/>
    <n v="1"/>
    <n v="1"/>
    <n v="1"/>
    <n v="1"/>
    <n v="20"/>
    <m/>
    <m/>
  </r>
  <r>
    <m/>
    <x v="29"/>
    <s v="A-4J-0019"/>
    <s v="28SL/285M"/>
    <x v="28"/>
    <d v="2026-08-17T00:00:00"/>
    <d v="2026-08-21T00:00:00"/>
    <d v="1899-12-30T07:30:00"/>
    <m/>
    <m/>
    <m/>
    <m/>
    <m/>
    <m/>
    <s v="J. Wilson"/>
    <s v="M. Bailey"/>
    <m/>
    <n v="20"/>
    <n v="40"/>
    <n v="5"/>
    <n v="148"/>
    <m/>
    <m/>
    <m/>
    <m/>
    <m/>
    <m/>
    <m/>
    <m/>
    <n v="479"/>
    <n v="1"/>
    <n v="1"/>
    <n v="1"/>
    <n v="1"/>
    <n v="20"/>
    <m/>
    <m/>
  </r>
  <r>
    <m/>
    <x v="30"/>
    <s v="A-493-2099"/>
    <s v="438G"/>
    <x v="29"/>
    <d v="2025-10-06T00:00:00"/>
    <d v="2025-10-07T00:00:00"/>
    <d v="1899-12-30T08:00:00"/>
    <m/>
    <m/>
    <m/>
    <m/>
    <m/>
    <m/>
    <s v="EMC Stroughn"/>
    <m/>
    <m/>
    <n v="30"/>
    <n v="16"/>
    <n v="2"/>
    <n v="0"/>
    <m/>
    <m/>
    <m/>
    <m/>
    <m/>
    <m/>
    <m/>
    <m/>
    <n v="161"/>
    <n v="1"/>
    <n v="1"/>
    <n v="1"/>
    <n v="0"/>
    <n v="16"/>
    <m/>
    <m/>
  </r>
  <r>
    <m/>
    <x v="30"/>
    <s v="A-493-2099"/>
    <s v="438G"/>
    <x v="29"/>
    <d v="2025-10-08T00:00:00"/>
    <d v="2025-10-09T00:00:00"/>
    <d v="1899-12-30T08:00:00"/>
    <m/>
    <m/>
    <m/>
    <m/>
    <m/>
    <m/>
    <s v="EMC Stroughn"/>
    <m/>
    <m/>
    <n v="30"/>
    <n v="16"/>
    <n v="2"/>
    <n v="0"/>
    <m/>
    <m/>
    <m/>
    <m/>
    <m/>
    <m/>
    <m/>
    <m/>
    <n v="163"/>
    <n v="1"/>
    <n v="1"/>
    <n v="1"/>
    <n v="0"/>
    <n v="16"/>
    <m/>
    <m/>
  </r>
  <r>
    <m/>
    <x v="31"/>
    <s v="A-493-2098"/>
    <s v="09WW"/>
    <x v="0"/>
    <d v="2025-10-20T00:00:00"/>
    <d v="2025-10-22T00:00:00"/>
    <m/>
    <d v="1899-12-30T12:00:00"/>
    <m/>
    <m/>
    <m/>
    <m/>
    <m/>
    <s v="EMC Stroughn"/>
    <m/>
    <m/>
    <n v="100"/>
    <n v="16"/>
    <n v="3"/>
    <n v="1882"/>
    <m/>
    <m/>
    <m/>
    <m/>
    <m/>
    <m/>
    <m/>
    <m/>
    <n v="176"/>
    <n v="1"/>
    <n v="1"/>
    <n v="1"/>
    <n v="0"/>
    <n v="16"/>
    <m/>
    <m/>
  </r>
  <r>
    <m/>
    <x v="31"/>
    <s v="A-493-2098"/>
    <s v="09WW"/>
    <x v="0"/>
    <d v="2025-11-03T00:00:00"/>
    <d v="2025-11-05T00:00:00"/>
    <m/>
    <d v="1899-12-30T12:00:00"/>
    <m/>
    <m/>
    <m/>
    <m/>
    <m/>
    <s v="EMC Stroughn"/>
    <m/>
    <m/>
    <n v="100"/>
    <n v="16"/>
    <n v="3"/>
    <n v="1882"/>
    <m/>
    <m/>
    <m/>
    <m/>
    <m/>
    <m/>
    <m/>
    <m/>
    <n v="190"/>
    <n v="1"/>
    <n v="1"/>
    <n v="1"/>
    <n v="0"/>
    <n v="16"/>
    <m/>
    <m/>
  </r>
  <r>
    <m/>
    <x v="31"/>
    <s v="A-493-2098"/>
    <s v="09WW"/>
    <x v="0"/>
    <d v="2025-12-01T00:00:00"/>
    <d v="2025-12-03T00:00:00"/>
    <m/>
    <d v="1899-12-30T19:00:00"/>
    <m/>
    <m/>
    <m/>
    <m/>
    <m/>
    <s v="EMC Stroughn"/>
    <m/>
    <m/>
    <n v="100"/>
    <n v="16"/>
    <n v="3"/>
    <n v="356"/>
    <m/>
    <m/>
    <m/>
    <m/>
    <m/>
    <m/>
    <m/>
    <m/>
    <n v="218"/>
    <n v="1"/>
    <n v="1"/>
    <n v="1"/>
    <n v="0"/>
    <n v="16"/>
    <m/>
    <m/>
  </r>
  <r>
    <m/>
    <x v="31"/>
    <s v="A-493-2098"/>
    <s v="09WW"/>
    <x v="0"/>
    <d v="2026-01-05T00:00:00"/>
    <d v="2026-01-07T00:00:00"/>
    <m/>
    <d v="1899-12-30T12:00:00"/>
    <m/>
    <m/>
    <m/>
    <m/>
    <m/>
    <s v="EMC Stroughn"/>
    <m/>
    <m/>
    <n v="100"/>
    <n v="16"/>
    <n v="3"/>
    <n v="1882"/>
    <m/>
    <m/>
    <m/>
    <m/>
    <m/>
    <m/>
    <m/>
    <m/>
    <n v="253"/>
    <n v="1"/>
    <n v="1"/>
    <n v="1"/>
    <n v="0"/>
    <n v="16"/>
    <m/>
    <m/>
  </r>
  <r>
    <m/>
    <x v="31"/>
    <s v="A-493-2098"/>
    <s v="09WW"/>
    <x v="0"/>
    <d v="2026-01-26T00:00:00"/>
    <d v="2026-01-28T00:00:00"/>
    <m/>
    <d v="1899-12-30T12:00:00"/>
    <m/>
    <m/>
    <m/>
    <m/>
    <m/>
    <s v="EMC Stroughn"/>
    <m/>
    <m/>
    <n v="100"/>
    <n v="16"/>
    <n v="3"/>
    <n v="1882"/>
    <m/>
    <m/>
    <m/>
    <m/>
    <m/>
    <m/>
    <m/>
    <m/>
    <n v="274"/>
    <n v="1"/>
    <n v="1"/>
    <n v="1"/>
    <n v="0"/>
    <n v="16"/>
    <m/>
    <m/>
  </r>
  <r>
    <m/>
    <x v="31"/>
    <s v="A-493-2098"/>
    <s v="09WW"/>
    <x v="0"/>
    <d v="2026-03-23T00:00:00"/>
    <d v="2026-03-25T00:00:00"/>
    <m/>
    <d v="1899-12-30T19:00:00"/>
    <m/>
    <m/>
    <m/>
    <m/>
    <m/>
    <s v="EMC Stroughn"/>
    <m/>
    <m/>
    <n v="100"/>
    <n v="16"/>
    <n v="3"/>
    <n v="356"/>
    <m/>
    <m/>
    <m/>
    <m/>
    <m/>
    <m/>
    <m/>
    <m/>
    <n v="330"/>
    <n v="1"/>
    <n v="1"/>
    <n v="1"/>
    <n v="0"/>
    <n v="16"/>
    <m/>
    <m/>
  </r>
  <r>
    <m/>
    <x v="31"/>
    <s v="A-493-2098"/>
    <s v="09WW"/>
    <x v="0"/>
    <d v="2026-05-04T00:00:00"/>
    <d v="2026-05-06T00:00:00"/>
    <m/>
    <d v="1899-12-30T12:00:00"/>
    <m/>
    <m/>
    <m/>
    <m/>
    <m/>
    <s v="EMC Stroughn"/>
    <m/>
    <m/>
    <n v="100"/>
    <n v="16"/>
    <n v="3"/>
    <n v="1882"/>
    <m/>
    <m/>
    <m/>
    <m/>
    <m/>
    <m/>
    <m/>
    <m/>
    <n v="372"/>
    <n v="1"/>
    <n v="1"/>
    <n v="1"/>
    <n v="0"/>
    <n v="16"/>
    <m/>
    <m/>
  </r>
  <r>
    <m/>
    <x v="31"/>
    <s v="A-493-2098"/>
    <s v="09WW"/>
    <x v="0"/>
    <d v="2026-05-18T00:00:00"/>
    <d v="2026-05-20T00:00:00"/>
    <m/>
    <d v="1899-12-30T12:00:00"/>
    <m/>
    <m/>
    <m/>
    <m/>
    <m/>
    <s v="EMC Stroughn"/>
    <m/>
    <m/>
    <n v="100"/>
    <n v="16"/>
    <n v="3"/>
    <n v="1882"/>
    <m/>
    <m/>
    <m/>
    <m/>
    <m/>
    <m/>
    <m/>
    <m/>
    <n v="386"/>
    <n v="1"/>
    <n v="1"/>
    <n v="1"/>
    <n v="0"/>
    <n v="16"/>
    <m/>
    <m/>
  </r>
  <r>
    <m/>
    <x v="31"/>
    <s v="A-493-2098"/>
    <s v="09WW"/>
    <x v="0"/>
    <d v="2026-06-01T00:00:00"/>
    <d v="2026-06-03T00:00:00"/>
    <m/>
    <d v="1899-12-30T12:00:00"/>
    <m/>
    <m/>
    <m/>
    <m/>
    <m/>
    <s v="EMC Stroughn"/>
    <m/>
    <m/>
    <n v="100"/>
    <n v="16"/>
    <n v="3"/>
    <n v="1882"/>
    <m/>
    <m/>
    <m/>
    <m/>
    <m/>
    <m/>
    <m/>
    <m/>
    <n v="400"/>
    <n v="1"/>
    <n v="1"/>
    <n v="1"/>
    <n v="0"/>
    <n v="16"/>
    <m/>
    <m/>
  </r>
  <r>
    <m/>
    <x v="31"/>
    <s v="A-493-2098"/>
    <s v="09WW"/>
    <x v="0"/>
    <d v="2026-07-13T00:00:00"/>
    <d v="2026-07-15T00:00:00"/>
    <m/>
    <d v="1899-12-30T12:00:00"/>
    <m/>
    <m/>
    <m/>
    <m/>
    <m/>
    <s v="EMC Stroughn"/>
    <m/>
    <m/>
    <n v="100"/>
    <n v="16"/>
    <n v="3"/>
    <n v="1882"/>
    <m/>
    <m/>
    <m/>
    <m/>
    <m/>
    <m/>
    <m/>
    <m/>
    <n v="442"/>
    <n v="1"/>
    <n v="1"/>
    <n v="1"/>
    <n v="0"/>
    <n v="16"/>
    <m/>
    <m/>
  </r>
  <r>
    <m/>
    <x v="31"/>
    <s v="A-493-2098"/>
    <s v="09WW"/>
    <x v="0"/>
    <d v="2026-09-14T00:00:00"/>
    <d v="2026-09-16T00:00:00"/>
    <m/>
    <d v="1899-12-30T19:00:00"/>
    <m/>
    <m/>
    <m/>
    <m/>
    <m/>
    <s v="EMC Stroughn"/>
    <m/>
    <m/>
    <n v="100"/>
    <n v="16"/>
    <n v="3"/>
    <n v="356"/>
    <m/>
    <m/>
    <m/>
    <m/>
    <m/>
    <m/>
    <m/>
    <m/>
    <n v="505"/>
    <n v="1"/>
    <n v="1"/>
    <n v="1"/>
    <n v="0"/>
    <n v="16"/>
    <m/>
    <m/>
  </r>
  <r>
    <m/>
    <x v="30"/>
    <s v="A-493-2099"/>
    <s v="438G"/>
    <x v="7"/>
    <d v="2025-11-12T00:00:00"/>
    <d v="2025-11-13T00:00:00"/>
    <d v="1899-12-30T08:00:00"/>
    <m/>
    <m/>
    <m/>
    <m/>
    <m/>
    <m/>
    <s v="EMC Stroughn"/>
    <m/>
    <m/>
    <n v="30"/>
    <n v="16"/>
    <n v="2"/>
    <n v="0"/>
    <m/>
    <m/>
    <m/>
    <m/>
    <m/>
    <m/>
    <m/>
    <m/>
    <n v="198"/>
    <n v="1"/>
    <n v="1"/>
    <n v="1"/>
    <n v="0"/>
    <n v="16"/>
    <m/>
    <m/>
  </r>
  <r>
    <m/>
    <x v="30"/>
    <s v="A-493-2099"/>
    <s v="438G"/>
    <x v="7"/>
    <d v="2025-11-18T00:00:00"/>
    <d v="2025-11-19T00:00:00"/>
    <d v="1899-12-30T08:00:00"/>
    <m/>
    <m/>
    <m/>
    <m/>
    <m/>
    <m/>
    <s v="EMC Stroughn"/>
    <m/>
    <m/>
    <n v="30"/>
    <n v="16"/>
    <n v="2"/>
    <n v="0"/>
    <m/>
    <m/>
    <m/>
    <m/>
    <m/>
    <m/>
    <m/>
    <m/>
    <n v="204"/>
    <n v="1"/>
    <n v="1"/>
    <n v="1"/>
    <n v="0"/>
    <n v="16"/>
    <m/>
    <m/>
  </r>
  <r>
    <m/>
    <x v="30"/>
    <s v="A-493-2099"/>
    <s v="438G"/>
    <x v="15"/>
    <d v="2026-02-18T00:00:00"/>
    <d v="2026-02-19T00:00:00"/>
    <d v="1899-12-30T08:00:00"/>
    <d v="1899-12-30T12:00:00"/>
    <m/>
    <m/>
    <m/>
    <m/>
    <m/>
    <s v="EMC Stroughn"/>
    <m/>
    <m/>
    <n v="30"/>
    <n v="16"/>
    <n v="2"/>
    <n v="0"/>
    <m/>
    <m/>
    <m/>
    <m/>
    <m/>
    <m/>
    <m/>
    <m/>
    <n v="296"/>
    <n v="1"/>
    <n v="1"/>
    <n v="1"/>
    <n v="0"/>
    <n v="16"/>
    <m/>
    <m/>
  </r>
  <r>
    <m/>
    <x v="30"/>
    <s v="A-493-2099"/>
    <s v="438G"/>
    <x v="15"/>
    <d v="2026-02-24T00:00:00"/>
    <d v="2026-02-25T00:00:00"/>
    <d v="1899-12-30T08:00:00"/>
    <d v="1899-12-30T12:00:00"/>
    <m/>
    <m/>
    <m/>
    <m/>
    <m/>
    <s v="EMC Stroughn"/>
    <m/>
    <m/>
    <n v="30"/>
    <n v="16"/>
    <n v="2"/>
    <n v="0"/>
    <m/>
    <m/>
    <m/>
    <m/>
    <m/>
    <m/>
    <m/>
    <m/>
    <n v="302"/>
    <n v="1"/>
    <n v="1"/>
    <n v="1"/>
    <n v="0"/>
    <n v="16"/>
    <m/>
    <m/>
  </r>
  <r>
    <m/>
    <x v="30"/>
    <s v="A-493-2099"/>
    <s v="438G"/>
    <x v="25"/>
    <d v="2026-03-03T00:00:00"/>
    <d v="2026-03-04T00:00:00"/>
    <d v="1899-12-30T08:00:00"/>
    <d v="1899-12-30T08:00:00"/>
    <m/>
    <m/>
    <m/>
    <m/>
    <m/>
    <s v="EMC Stroughn"/>
    <m/>
    <m/>
    <n v="30"/>
    <n v="16"/>
    <n v="2"/>
    <n v="0"/>
    <m/>
    <m/>
    <m/>
    <m/>
    <m/>
    <m/>
    <m/>
    <m/>
    <n v="309"/>
    <n v="1"/>
    <n v="1"/>
    <n v="1"/>
    <n v="0"/>
    <n v="16"/>
    <m/>
    <m/>
  </r>
  <r>
    <m/>
    <x v="30"/>
    <s v="A-493-2099"/>
    <s v="438G"/>
    <x v="1"/>
    <d v="2026-08-03T00:00:00"/>
    <d v="2026-08-05T00:00:00"/>
    <d v="1899-12-30T08:00:00"/>
    <d v="1899-12-30T12:00:00"/>
    <m/>
    <m/>
    <m/>
    <m/>
    <m/>
    <s v="EMC Stroughn"/>
    <m/>
    <m/>
    <n v="30"/>
    <n v="16"/>
    <n v="2"/>
    <n v="0"/>
    <m/>
    <m/>
    <m/>
    <m/>
    <m/>
    <m/>
    <m/>
    <m/>
    <n v="463"/>
    <n v="1"/>
    <n v="1"/>
    <n v="1"/>
    <n v="0"/>
    <n v="16"/>
    <m/>
    <m/>
  </r>
  <r>
    <m/>
    <x v="30"/>
    <s v="A-493-2099"/>
    <s v="438G"/>
    <x v="9"/>
    <d v="2026-06-16T00:00:00"/>
    <d v="2026-06-17T00:00:00"/>
    <d v="1899-12-30T08:00:00"/>
    <d v="1899-12-30T08:00:00"/>
    <m/>
    <m/>
    <m/>
    <m/>
    <m/>
    <s v="TBD"/>
    <m/>
    <m/>
    <n v="30"/>
    <n v="16"/>
    <n v="2"/>
    <n v="0"/>
    <m/>
    <m/>
    <m/>
    <m/>
    <m/>
    <m/>
    <m/>
    <m/>
    <n v="414"/>
    <n v="1"/>
    <n v="1"/>
    <n v="1"/>
    <n v="0"/>
    <n v="16"/>
    <m/>
    <m/>
  </r>
  <r>
    <m/>
    <x v="32"/>
    <s v="F-4J-0023"/>
    <s v="11A2"/>
    <x v="0"/>
    <d v="2025-11-03T00:00:00"/>
    <d v="2025-11-04T00:00:00"/>
    <m/>
    <d v="1899-12-30T08:00:00"/>
    <m/>
    <m/>
    <m/>
    <m/>
    <m/>
    <s v="LT Andrew"/>
    <m/>
    <m/>
    <n v="45"/>
    <n v="16"/>
    <n v="2"/>
    <n v="28"/>
    <m/>
    <m/>
    <m/>
    <m/>
    <m/>
    <m/>
    <m/>
    <m/>
    <n v="189"/>
    <n v="1"/>
    <n v="1"/>
    <n v="1"/>
    <n v="0"/>
    <n v="16"/>
    <m/>
    <m/>
  </r>
  <r>
    <m/>
    <x v="32"/>
    <s v="F-4J-0023"/>
    <s v="11A2"/>
    <x v="0"/>
    <d v="2026-01-12T00:00:00"/>
    <d v="2026-01-16T00:00:00"/>
    <m/>
    <d v="1899-12-30T08:00:00"/>
    <m/>
    <m/>
    <m/>
    <m/>
    <m/>
    <s v="LT Andrew"/>
    <m/>
    <m/>
    <n v="45"/>
    <n v="16"/>
    <n v="2"/>
    <n v="28"/>
    <m/>
    <m/>
    <m/>
    <m/>
    <m/>
    <m/>
    <m/>
    <m/>
    <n v="262"/>
    <n v="1"/>
    <n v="1"/>
    <n v="1"/>
    <n v="0"/>
    <n v="16"/>
    <m/>
    <m/>
  </r>
  <r>
    <m/>
    <x v="32"/>
    <s v="F-4J-0023"/>
    <s v="11A2"/>
    <x v="0"/>
    <d v="2026-03-23T00:00:00"/>
    <d v="2026-03-24T00:00:00"/>
    <m/>
    <d v="1899-12-30T08:00:00"/>
    <m/>
    <m/>
    <m/>
    <m/>
    <m/>
    <s v="LT Andrew"/>
    <m/>
    <m/>
    <n v="45"/>
    <n v="16"/>
    <n v="2"/>
    <n v="28"/>
    <m/>
    <m/>
    <m/>
    <m/>
    <m/>
    <m/>
    <m/>
    <m/>
    <n v="329"/>
    <n v="1"/>
    <n v="1"/>
    <n v="1"/>
    <n v="0"/>
    <n v="16"/>
    <m/>
    <m/>
  </r>
  <r>
    <m/>
    <x v="32"/>
    <s v="F-4J-0023"/>
    <s v="11A2"/>
    <x v="0"/>
    <d v="2026-06-01T00:00:00"/>
    <d v="2026-06-02T00:00:00"/>
    <m/>
    <d v="1899-12-30T12:00:00"/>
    <m/>
    <m/>
    <m/>
    <m/>
    <m/>
    <s v="TMC Newman"/>
    <m/>
    <m/>
    <n v="45"/>
    <n v="16"/>
    <n v="2"/>
    <n v="1882"/>
    <m/>
    <m/>
    <m/>
    <m/>
    <m/>
    <m/>
    <m/>
    <m/>
    <n v="399"/>
    <n v="1"/>
    <n v="1"/>
    <n v="1"/>
    <n v="0"/>
    <n v="16"/>
    <m/>
    <m/>
  </r>
  <r>
    <m/>
    <x v="32"/>
    <s v="F-4J-0023"/>
    <s v="11A2"/>
    <x v="0"/>
    <d v="2026-09-14T00:00:00"/>
    <d v="2026-09-15T00:00:00"/>
    <m/>
    <d v="1899-12-30T08:00:00"/>
    <m/>
    <m/>
    <m/>
    <m/>
    <m/>
    <s v="TMC Newman"/>
    <m/>
    <m/>
    <n v="45"/>
    <n v="16"/>
    <n v="2"/>
    <n v="28"/>
    <m/>
    <m/>
    <m/>
    <m/>
    <m/>
    <m/>
    <m/>
    <m/>
    <n v="504"/>
    <n v="1"/>
    <n v="1"/>
    <n v="1"/>
    <n v="0"/>
    <n v="16"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5">
  <r>
    <x v="0"/>
    <x v="0"/>
    <n v="0"/>
    <n v="1"/>
    <n v="2"/>
    <n v="0"/>
    <n v="0"/>
    <n v="0"/>
    <m/>
  </r>
  <r>
    <x v="0"/>
    <x v="1"/>
    <n v="1"/>
    <n v="1"/>
    <n v="14"/>
    <n v="5"/>
    <n v="3"/>
    <n v="2"/>
    <m/>
  </r>
  <r>
    <x v="0"/>
    <x v="2"/>
    <n v="0"/>
    <n v="1"/>
    <n v="31"/>
    <n v="2"/>
    <n v="10"/>
    <n v="9"/>
    <m/>
  </r>
  <r>
    <x v="0"/>
    <x v="3"/>
    <n v="5"/>
    <n v="24"/>
    <n v="8"/>
    <n v="1"/>
    <n v="12"/>
    <n v="3"/>
    <m/>
  </r>
  <r>
    <x v="0"/>
    <x v="4"/>
    <n v="5"/>
    <n v="28"/>
    <n v="65"/>
    <n v="6"/>
    <n v="22"/>
    <n v="11"/>
    <m/>
  </r>
  <r>
    <x v="0"/>
    <x v="5"/>
    <n v="0"/>
    <n v="6"/>
    <n v="26"/>
    <n v="4"/>
    <n v="5"/>
    <n v="11"/>
    <m/>
  </r>
  <r>
    <x v="0"/>
    <x v="6"/>
    <n v="1"/>
    <n v="6"/>
    <n v="35"/>
    <n v="0"/>
    <n v="22"/>
    <n v="13"/>
    <m/>
  </r>
  <r>
    <x v="0"/>
    <x v="7"/>
    <n v="0"/>
    <n v="1"/>
    <n v="20"/>
    <n v="2"/>
    <n v="6"/>
    <n v="4"/>
    <m/>
  </r>
  <r>
    <x v="0"/>
    <x v="8"/>
    <n v="6"/>
    <n v="6"/>
    <n v="33"/>
    <n v="4"/>
    <n v="6"/>
    <n v="8"/>
    <m/>
  </r>
  <r>
    <x v="0"/>
    <x v="9"/>
    <n v="2"/>
    <n v="5"/>
    <n v="63"/>
    <n v="10"/>
    <n v="21"/>
    <n v="10"/>
    <m/>
  </r>
  <r>
    <x v="0"/>
    <x v="10"/>
    <n v="0"/>
    <n v="4"/>
    <n v="11"/>
    <n v="4"/>
    <n v="18"/>
    <n v="3"/>
    <m/>
  </r>
  <r>
    <x v="0"/>
    <x v="11"/>
    <n v="0"/>
    <n v="0"/>
    <n v="7"/>
    <n v="1"/>
    <n v="4"/>
    <n v="6"/>
    <m/>
  </r>
  <r>
    <x v="0"/>
    <x v="12"/>
    <n v="0"/>
    <n v="0"/>
    <n v="0"/>
    <n v="2"/>
    <n v="0"/>
    <n v="0"/>
    <m/>
  </r>
  <r>
    <x v="1"/>
    <x v="0"/>
    <m/>
    <m/>
    <m/>
    <m/>
    <m/>
    <m/>
    <m/>
  </r>
  <r>
    <x v="1"/>
    <x v="1"/>
    <m/>
    <m/>
    <m/>
    <m/>
    <m/>
    <m/>
    <m/>
  </r>
  <r>
    <x v="1"/>
    <x v="2"/>
    <m/>
    <m/>
    <m/>
    <m/>
    <m/>
    <m/>
    <m/>
  </r>
  <r>
    <x v="1"/>
    <x v="3"/>
    <m/>
    <m/>
    <m/>
    <m/>
    <m/>
    <m/>
    <m/>
  </r>
  <r>
    <x v="1"/>
    <x v="4"/>
    <m/>
    <m/>
    <m/>
    <m/>
    <m/>
    <m/>
    <m/>
  </r>
  <r>
    <x v="1"/>
    <x v="5"/>
    <m/>
    <m/>
    <m/>
    <m/>
    <m/>
    <m/>
    <m/>
  </r>
  <r>
    <x v="1"/>
    <x v="6"/>
    <m/>
    <m/>
    <m/>
    <m/>
    <m/>
    <m/>
    <m/>
  </r>
  <r>
    <x v="1"/>
    <x v="7"/>
    <m/>
    <m/>
    <m/>
    <m/>
    <m/>
    <m/>
    <m/>
  </r>
  <r>
    <x v="1"/>
    <x v="8"/>
    <m/>
    <m/>
    <m/>
    <m/>
    <m/>
    <m/>
    <m/>
  </r>
  <r>
    <x v="1"/>
    <x v="9"/>
    <m/>
    <m/>
    <m/>
    <m/>
    <m/>
    <m/>
    <m/>
  </r>
  <r>
    <x v="1"/>
    <x v="10"/>
    <m/>
    <m/>
    <m/>
    <m/>
    <m/>
    <m/>
    <m/>
  </r>
  <r>
    <x v="1"/>
    <x v="11"/>
    <m/>
    <m/>
    <m/>
    <m/>
    <n v="2"/>
    <m/>
    <m/>
  </r>
  <r>
    <x v="1"/>
    <x v="12"/>
    <m/>
    <m/>
    <m/>
    <m/>
    <m/>
    <m/>
    <m/>
  </r>
  <r>
    <x v="2"/>
    <x v="0"/>
    <m/>
    <m/>
    <n v="0"/>
    <m/>
    <m/>
    <n v="2"/>
    <m/>
  </r>
  <r>
    <x v="2"/>
    <x v="1"/>
    <m/>
    <m/>
    <n v="4"/>
    <m/>
    <m/>
    <n v="7"/>
    <m/>
  </r>
  <r>
    <x v="2"/>
    <x v="2"/>
    <m/>
    <m/>
    <n v="4"/>
    <m/>
    <m/>
    <n v="7"/>
    <m/>
  </r>
  <r>
    <x v="2"/>
    <x v="3"/>
    <m/>
    <m/>
    <n v="0"/>
    <m/>
    <m/>
    <n v="7"/>
    <m/>
  </r>
  <r>
    <x v="2"/>
    <x v="4"/>
    <m/>
    <m/>
    <n v="4"/>
    <m/>
    <m/>
    <n v="7"/>
    <m/>
  </r>
  <r>
    <x v="2"/>
    <x v="5"/>
    <m/>
    <m/>
    <n v="4"/>
    <m/>
    <m/>
    <n v="7"/>
    <m/>
  </r>
  <r>
    <x v="2"/>
    <x v="6"/>
    <m/>
    <m/>
    <n v="5"/>
    <m/>
    <m/>
    <n v="7"/>
    <m/>
  </r>
  <r>
    <x v="2"/>
    <x v="7"/>
    <m/>
    <m/>
    <n v="4"/>
    <m/>
    <m/>
    <n v="7"/>
    <m/>
  </r>
  <r>
    <x v="2"/>
    <x v="8"/>
    <m/>
    <m/>
    <n v="4"/>
    <m/>
    <m/>
    <n v="7"/>
    <m/>
  </r>
  <r>
    <x v="2"/>
    <x v="9"/>
    <m/>
    <m/>
    <n v="4"/>
    <m/>
    <m/>
    <n v="7"/>
    <m/>
  </r>
  <r>
    <x v="2"/>
    <x v="10"/>
    <m/>
    <m/>
    <n v="1"/>
    <m/>
    <m/>
    <n v="7"/>
    <m/>
  </r>
  <r>
    <x v="2"/>
    <x v="11"/>
    <m/>
    <m/>
    <n v="0"/>
    <m/>
    <m/>
    <n v="0"/>
    <m/>
  </r>
  <r>
    <x v="2"/>
    <x v="12"/>
    <m/>
    <m/>
    <n v="0"/>
    <m/>
    <m/>
    <n v="0"/>
    <m/>
  </r>
  <r>
    <x v="3"/>
    <x v="0"/>
    <m/>
    <m/>
    <m/>
    <m/>
    <m/>
    <m/>
    <m/>
  </r>
  <r>
    <x v="3"/>
    <x v="1"/>
    <m/>
    <m/>
    <n v="1"/>
    <m/>
    <m/>
    <m/>
    <m/>
  </r>
  <r>
    <x v="3"/>
    <x v="2"/>
    <m/>
    <m/>
    <m/>
    <m/>
    <m/>
    <m/>
    <m/>
  </r>
  <r>
    <x v="3"/>
    <x v="3"/>
    <m/>
    <m/>
    <m/>
    <m/>
    <m/>
    <m/>
    <m/>
  </r>
  <r>
    <x v="3"/>
    <x v="4"/>
    <m/>
    <m/>
    <n v="1"/>
    <m/>
    <m/>
    <m/>
    <m/>
  </r>
  <r>
    <x v="3"/>
    <x v="5"/>
    <m/>
    <m/>
    <n v="1"/>
    <m/>
    <m/>
    <m/>
    <m/>
  </r>
  <r>
    <x v="3"/>
    <x v="6"/>
    <m/>
    <m/>
    <n v="1"/>
    <m/>
    <m/>
    <m/>
    <m/>
  </r>
  <r>
    <x v="3"/>
    <x v="7"/>
    <m/>
    <m/>
    <m/>
    <m/>
    <m/>
    <m/>
    <m/>
  </r>
  <r>
    <x v="3"/>
    <x v="8"/>
    <m/>
    <m/>
    <n v="1"/>
    <m/>
    <m/>
    <m/>
    <m/>
  </r>
  <r>
    <x v="3"/>
    <x v="9"/>
    <m/>
    <m/>
    <n v="1"/>
    <m/>
    <m/>
    <m/>
    <m/>
  </r>
  <r>
    <x v="3"/>
    <x v="10"/>
    <m/>
    <m/>
    <n v="1"/>
    <m/>
    <m/>
    <m/>
    <m/>
  </r>
  <r>
    <x v="3"/>
    <x v="11"/>
    <m/>
    <m/>
    <m/>
    <m/>
    <m/>
    <m/>
    <m/>
  </r>
  <r>
    <x v="3"/>
    <x v="12"/>
    <m/>
    <m/>
    <m/>
    <m/>
    <m/>
    <m/>
    <m/>
  </r>
  <r>
    <x v="4"/>
    <x v="0"/>
    <m/>
    <m/>
    <n v="1"/>
    <m/>
    <m/>
    <m/>
    <m/>
  </r>
  <r>
    <x v="4"/>
    <x v="1"/>
    <m/>
    <m/>
    <m/>
    <m/>
    <m/>
    <m/>
    <m/>
  </r>
  <r>
    <x v="4"/>
    <x v="2"/>
    <m/>
    <m/>
    <n v="1"/>
    <m/>
    <m/>
    <m/>
    <m/>
  </r>
  <r>
    <x v="4"/>
    <x v="3"/>
    <m/>
    <m/>
    <m/>
    <m/>
    <m/>
    <m/>
    <m/>
  </r>
  <r>
    <x v="4"/>
    <x v="4"/>
    <m/>
    <m/>
    <n v="1"/>
    <m/>
    <m/>
    <m/>
    <m/>
  </r>
  <r>
    <x v="4"/>
    <x v="5"/>
    <m/>
    <m/>
    <n v="1"/>
    <m/>
    <m/>
    <m/>
    <m/>
  </r>
  <r>
    <x v="4"/>
    <x v="6"/>
    <m/>
    <m/>
    <n v="1"/>
    <m/>
    <m/>
    <m/>
    <m/>
  </r>
  <r>
    <x v="4"/>
    <x v="7"/>
    <m/>
    <m/>
    <n v="1"/>
    <m/>
    <m/>
    <m/>
    <m/>
  </r>
  <r>
    <x v="4"/>
    <x v="8"/>
    <m/>
    <m/>
    <n v="1"/>
    <m/>
    <m/>
    <m/>
    <m/>
  </r>
  <r>
    <x v="4"/>
    <x v="9"/>
    <m/>
    <m/>
    <n v="1"/>
    <m/>
    <m/>
    <m/>
    <m/>
  </r>
  <r>
    <x v="4"/>
    <x v="10"/>
    <m/>
    <m/>
    <m/>
    <m/>
    <m/>
    <m/>
    <m/>
  </r>
  <r>
    <x v="4"/>
    <x v="11"/>
    <m/>
    <m/>
    <m/>
    <m/>
    <m/>
    <m/>
    <m/>
  </r>
  <r>
    <x v="4"/>
    <x v="12"/>
    <m/>
    <m/>
    <m/>
    <m/>
    <m/>
    <m/>
    <m/>
  </r>
  <r>
    <x v="5"/>
    <x v="0"/>
    <m/>
    <m/>
    <m/>
    <m/>
    <m/>
    <m/>
    <m/>
  </r>
  <r>
    <x v="5"/>
    <x v="1"/>
    <m/>
    <m/>
    <n v="1"/>
    <m/>
    <m/>
    <m/>
    <m/>
  </r>
  <r>
    <x v="5"/>
    <x v="2"/>
    <m/>
    <m/>
    <m/>
    <m/>
    <m/>
    <m/>
    <m/>
  </r>
  <r>
    <x v="5"/>
    <x v="3"/>
    <m/>
    <m/>
    <m/>
    <m/>
    <m/>
    <m/>
    <m/>
  </r>
  <r>
    <x v="5"/>
    <x v="4"/>
    <m/>
    <m/>
    <m/>
    <m/>
    <m/>
    <m/>
    <m/>
  </r>
  <r>
    <x v="5"/>
    <x v="5"/>
    <m/>
    <m/>
    <n v="1"/>
    <m/>
    <m/>
    <m/>
    <m/>
  </r>
  <r>
    <x v="5"/>
    <x v="6"/>
    <m/>
    <m/>
    <m/>
    <m/>
    <m/>
    <m/>
    <m/>
  </r>
  <r>
    <x v="5"/>
    <x v="7"/>
    <m/>
    <m/>
    <m/>
    <m/>
    <m/>
    <m/>
    <m/>
  </r>
  <r>
    <x v="5"/>
    <x v="8"/>
    <m/>
    <m/>
    <n v="1"/>
    <m/>
    <m/>
    <m/>
    <m/>
  </r>
  <r>
    <x v="5"/>
    <x v="9"/>
    <m/>
    <m/>
    <n v="1"/>
    <m/>
    <m/>
    <m/>
    <m/>
  </r>
  <r>
    <x v="5"/>
    <x v="10"/>
    <m/>
    <m/>
    <m/>
    <m/>
    <m/>
    <m/>
    <m/>
  </r>
  <r>
    <x v="5"/>
    <x v="11"/>
    <m/>
    <m/>
    <m/>
    <m/>
    <m/>
    <m/>
    <m/>
  </r>
  <r>
    <x v="5"/>
    <x v="12"/>
    <m/>
    <m/>
    <m/>
    <m/>
    <m/>
    <m/>
    <m/>
  </r>
  <r>
    <x v="6"/>
    <x v="0"/>
    <m/>
    <m/>
    <m/>
    <m/>
    <m/>
    <m/>
    <m/>
  </r>
  <r>
    <x v="6"/>
    <x v="1"/>
    <m/>
    <m/>
    <n v="3"/>
    <m/>
    <m/>
    <m/>
    <m/>
  </r>
  <r>
    <x v="6"/>
    <x v="2"/>
    <m/>
    <m/>
    <n v="3"/>
    <m/>
    <m/>
    <m/>
    <m/>
  </r>
  <r>
    <x v="6"/>
    <x v="3"/>
    <m/>
    <m/>
    <n v="2"/>
    <m/>
    <m/>
    <m/>
    <m/>
  </r>
  <r>
    <x v="6"/>
    <x v="4"/>
    <m/>
    <m/>
    <n v="2"/>
    <m/>
    <m/>
    <m/>
    <m/>
  </r>
  <r>
    <x v="6"/>
    <x v="5"/>
    <m/>
    <m/>
    <n v="2"/>
    <m/>
    <m/>
    <m/>
    <m/>
  </r>
  <r>
    <x v="6"/>
    <x v="6"/>
    <m/>
    <m/>
    <n v="3"/>
    <m/>
    <m/>
    <m/>
    <m/>
  </r>
  <r>
    <x v="6"/>
    <x v="7"/>
    <m/>
    <m/>
    <n v="3"/>
    <m/>
    <m/>
    <m/>
    <m/>
  </r>
  <r>
    <x v="6"/>
    <x v="8"/>
    <m/>
    <m/>
    <n v="2"/>
    <m/>
    <m/>
    <m/>
    <m/>
  </r>
  <r>
    <x v="6"/>
    <x v="9"/>
    <m/>
    <m/>
    <n v="2"/>
    <m/>
    <m/>
    <m/>
    <m/>
  </r>
  <r>
    <x v="6"/>
    <x v="10"/>
    <m/>
    <m/>
    <n v="1"/>
    <m/>
    <m/>
    <m/>
    <m/>
  </r>
  <r>
    <x v="6"/>
    <x v="11"/>
    <m/>
    <m/>
    <m/>
    <m/>
    <m/>
    <m/>
    <m/>
  </r>
  <r>
    <x v="6"/>
    <x v="12"/>
    <m/>
    <m/>
    <m/>
    <m/>
    <m/>
    <m/>
    <m/>
  </r>
  <r>
    <x v="7"/>
    <x v="0"/>
    <m/>
    <m/>
    <n v="2"/>
    <m/>
    <m/>
    <m/>
    <m/>
  </r>
  <r>
    <x v="7"/>
    <x v="1"/>
    <n v="1"/>
    <m/>
    <n v="14"/>
    <n v="5"/>
    <m/>
    <m/>
    <m/>
  </r>
  <r>
    <x v="7"/>
    <x v="2"/>
    <m/>
    <n v="1"/>
    <n v="31"/>
    <n v="2"/>
    <m/>
    <n v="2"/>
    <m/>
  </r>
  <r>
    <x v="7"/>
    <x v="3"/>
    <n v="5"/>
    <n v="23"/>
    <n v="8"/>
    <n v="1"/>
    <m/>
    <m/>
    <m/>
  </r>
  <r>
    <x v="7"/>
    <x v="4"/>
    <n v="5"/>
    <n v="28"/>
    <n v="65"/>
    <n v="3"/>
    <m/>
    <m/>
    <m/>
  </r>
  <r>
    <x v="7"/>
    <x v="5"/>
    <m/>
    <n v="5"/>
    <n v="26"/>
    <m/>
    <m/>
    <m/>
    <m/>
  </r>
  <r>
    <x v="7"/>
    <x v="6"/>
    <n v="1"/>
    <n v="5"/>
    <n v="35"/>
    <m/>
    <m/>
    <n v="2"/>
    <m/>
  </r>
  <r>
    <x v="7"/>
    <x v="7"/>
    <m/>
    <n v="1"/>
    <n v="20"/>
    <n v="2"/>
    <m/>
    <n v="3"/>
    <m/>
  </r>
  <r>
    <x v="7"/>
    <x v="8"/>
    <n v="6"/>
    <n v="5"/>
    <n v="33"/>
    <n v="4"/>
    <m/>
    <m/>
    <m/>
  </r>
  <r>
    <x v="7"/>
    <x v="9"/>
    <n v="2"/>
    <n v="4"/>
    <n v="63"/>
    <n v="5"/>
    <m/>
    <n v="2"/>
    <m/>
  </r>
  <r>
    <x v="7"/>
    <x v="10"/>
    <m/>
    <n v="3"/>
    <n v="11"/>
    <n v="4"/>
    <m/>
    <n v="1"/>
    <m/>
  </r>
  <r>
    <x v="7"/>
    <x v="11"/>
    <m/>
    <m/>
    <n v="7"/>
    <n v="1"/>
    <m/>
    <n v="3"/>
    <m/>
  </r>
  <r>
    <x v="7"/>
    <x v="12"/>
    <m/>
    <m/>
    <m/>
    <n v="2"/>
    <m/>
    <m/>
    <m/>
  </r>
  <r>
    <x v="8"/>
    <x v="0"/>
    <m/>
    <m/>
    <m/>
    <m/>
    <m/>
    <m/>
    <m/>
  </r>
  <r>
    <x v="8"/>
    <x v="1"/>
    <m/>
    <n v="5"/>
    <n v="5"/>
    <n v="2"/>
    <n v="1"/>
    <n v="9"/>
    <m/>
  </r>
  <r>
    <x v="8"/>
    <x v="2"/>
    <m/>
    <n v="4"/>
    <n v="3"/>
    <n v="1"/>
    <n v="1"/>
    <n v="2"/>
    <m/>
  </r>
  <r>
    <x v="8"/>
    <x v="3"/>
    <m/>
    <n v="2"/>
    <m/>
    <m/>
    <m/>
    <m/>
    <m/>
  </r>
  <r>
    <x v="8"/>
    <x v="4"/>
    <m/>
    <n v="9"/>
    <n v="6"/>
    <n v="1"/>
    <n v="1"/>
    <n v="6"/>
    <m/>
  </r>
  <r>
    <x v="8"/>
    <x v="5"/>
    <m/>
    <n v="3"/>
    <n v="3"/>
    <m/>
    <m/>
    <m/>
    <m/>
  </r>
  <r>
    <x v="8"/>
    <x v="6"/>
    <m/>
    <n v="21"/>
    <n v="46"/>
    <n v="6"/>
    <n v="5"/>
    <n v="25"/>
    <m/>
  </r>
  <r>
    <x v="8"/>
    <x v="7"/>
    <m/>
    <n v="1"/>
    <n v="4"/>
    <m/>
    <m/>
    <m/>
    <m/>
  </r>
  <r>
    <x v="8"/>
    <x v="8"/>
    <m/>
    <n v="25"/>
    <n v="35"/>
    <n v="4"/>
    <n v="4"/>
    <n v="25"/>
    <m/>
  </r>
  <r>
    <x v="8"/>
    <x v="9"/>
    <m/>
    <n v="3"/>
    <n v="4"/>
    <n v="1"/>
    <n v="1"/>
    <n v="4"/>
    <m/>
  </r>
  <r>
    <x v="8"/>
    <x v="10"/>
    <m/>
    <n v="9"/>
    <n v="7"/>
    <m/>
    <m/>
    <n v="5"/>
    <m/>
  </r>
  <r>
    <x v="8"/>
    <x v="11"/>
    <m/>
    <n v="2"/>
    <m/>
    <m/>
    <m/>
    <m/>
    <m/>
  </r>
  <r>
    <x v="8"/>
    <x v="12"/>
    <m/>
    <m/>
    <m/>
    <m/>
    <m/>
    <m/>
    <m/>
  </r>
  <r>
    <x v="9"/>
    <x v="0"/>
    <m/>
    <m/>
    <m/>
    <m/>
    <m/>
    <m/>
    <m/>
  </r>
  <r>
    <x v="9"/>
    <x v="1"/>
    <m/>
    <m/>
    <m/>
    <m/>
    <m/>
    <m/>
    <m/>
  </r>
  <r>
    <x v="9"/>
    <x v="2"/>
    <m/>
    <m/>
    <m/>
    <m/>
    <m/>
    <m/>
    <m/>
  </r>
  <r>
    <x v="9"/>
    <x v="3"/>
    <m/>
    <m/>
    <m/>
    <m/>
    <m/>
    <m/>
    <m/>
  </r>
  <r>
    <x v="9"/>
    <x v="4"/>
    <m/>
    <m/>
    <m/>
    <m/>
    <m/>
    <m/>
    <m/>
  </r>
  <r>
    <x v="9"/>
    <x v="5"/>
    <m/>
    <m/>
    <m/>
    <m/>
    <m/>
    <m/>
    <m/>
  </r>
  <r>
    <x v="9"/>
    <x v="6"/>
    <m/>
    <m/>
    <m/>
    <m/>
    <m/>
    <m/>
    <m/>
  </r>
  <r>
    <x v="9"/>
    <x v="7"/>
    <m/>
    <m/>
    <m/>
    <m/>
    <m/>
    <m/>
    <m/>
  </r>
  <r>
    <x v="9"/>
    <x v="8"/>
    <m/>
    <m/>
    <m/>
    <m/>
    <m/>
    <m/>
    <m/>
  </r>
  <r>
    <x v="9"/>
    <x v="9"/>
    <m/>
    <m/>
    <m/>
    <m/>
    <m/>
    <m/>
    <m/>
  </r>
  <r>
    <x v="9"/>
    <x v="10"/>
    <m/>
    <m/>
    <m/>
    <m/>
    <m/>
    <m/>
    <m/>
  </r>
  <r>
    <x v="9"/>
    <x v="11"/>
    <m/>
    <m/>
    <m/>
    <m/>
    <m/>
    <m/>
    <m/>
  </r>
  <r>
    <x v="9"/>
    <x v="12"/>
    <m/>
    <m/>
    <m/>
    <m/>
    <m/>
    <m/>
    <m/>
  </r>
  <r>
    <x v="10"/>
    <x v="0"/>
    <m/>
    <m/>
    <m/>
    <m/>
    <m/>
    <m/>
    <m/>
  </r>
  <r>
    <x v="10"/>
    <x v="1"/>
    <m/>
    <m/>
    <m/>
    <m/>
    <n v="3"/>
    <n v="2"/>
    <m/>
  </r>
  <r>
    <x v="10"/>
    <x v="2"/>
    <m/>
    <m/>
    <m/>
    <m/>
    <n v="10"/>
    <n v="7"/>
    <m/>
  </r>
  <r>
    <x v="10"/>
    <x v="3"/>
    <m/>
    <m/>
    <m/>
    <m/>
    <n v="12"/>
    <n v="3"/>
    <m/>
  </r>
  <r>
    <x v="10"/>
    <x v="4"/>
    <m/>
    <m/>
    <m/>
    <n v="3"/>
    <n v="22"/>
    <n v="11"/>
    <m/>
  </r>
  <r>
    <x v="10"/>
    <x v="5"/>
    <m/>
    <m/>
    <m/>
    <n v="4"/>
    <n v="5"/>
    <n v="11"/>
    <m/>
  </r>
  <r>
    <x v="10"/>
    <x v="6"/>
    <m/>
    <m/>
    <m/>
    <m/>
    <n v="22"/>
    <n v="11"/>
    <m/>
  </r>
  <r>
    <x v="10"/>
    <x v="7"/>
    <m/>
    <m/>
    <m/>
    <m/>
    <n v="6"/>
    <n v="1"/>
    <m/>
  </r>
  <r>
    <x v="10"/>
    <x v="8"/>
    <m/>
    <m/>
    <m/>
    <m/>
    <n v="6"/>
    <n v="8"/>
    <m/>
  </r>
  <r>
    <x v="10"/>
    <x v="9"/>
    <m/>
    <m/>
    <m/>
    <n v="5"/>
    <n v="21"/>
    <n v="8"/>
    <m/>
  </r>
  <r>
    <x v="10"/>
    <x v="10"/>
    <m/>
    <m/>
    <m/>
    <m/>
    <n v="18"/>
    <n v="2"/>
    <m/>
  </r>
  <r>
    <x v="10"/>
    <x v="11"/>
    <m/>
    <m/>
    <m/>
    <m/>
    <n v="4"/>
    <n v="3"/>
    <m/>
  </r>
  <r>
    <x v="10"/>
    <x v="12"/>
    <m/>
    <m/>
    <m/>
    <m/>
    <m/>
    <m/>
    <m/>
  </r>
  <r>
    <x v="11"/>
    <x v="0"/>
    <m/>
    <m/>
    <m/>
    <m/>
    <m/>
    <m/>
    <m/>
  </r>
  <r>
    <x v="11"/>
    <x v="1"/>
    <m/>
    <m/>
    <m/>
    <m/>
    <m/>
    <m/>
    <m/>
  </r>
  <r>
    <x v="11"/>
    <x v="2"/>
    <m/>
    <m/>
    <m/>
    <m/>
    <m/>
    <m/>
    <m/>
  </r>
  <r>
    <x v="11"/>
    <x v="3"/>
    <m/>
    <m/>
    <m/>
    <m/>
    <m/>
    <m/>
    <m/>
  </r>
  <r>
    <x v="11"/>
    <x v="4"/>
    <m/>
    <m/>
    <m/>
    <m/>
    <m/>
    <m/>
    <m/>
  </r>
  <r>
    <x v="11"/>
    <x v="5"/>
    <m/>
    <m/>
    <m/>
    <m/>
    <m/>
    <m/>
    <m/>
  </r>
  <r>
    <x v="11"/>
    <x v="6"/>
    <m/>
    <m/>
    <m/>
    <m/>
    <m/>
    <m/>
    <m/>
  </r>
  <r>
    <x v="11"/>
    <x v="7"/>
    <m/>
    <m/>
    <n v="2"/>
    <m/>
    <m/>
    <m/>
    <m/>
  </r>
  <r>
    <x v="11"/>
    <x v="8"/>
    <m/>
    <m/>
    <m/>
    <m/>
    <m/>
    <m/>
    <m/>
  </r>
  <r>
    <x v="11"/>
    <x v="9"/>
    <m/>
    <m/>
    <n v="2"/>
    <m/>
    <m/>
    <m/>
    <m/>
  </r>
  <r>
    <x v="11"/>
    <x v="10"/>
    <m/>
    <m/>
    <m/>
    <m/>
    <m/>
    <m/>
    <m/>
  </r>
  <r>
    <x v="11"/>
    <x v="11"/>
    <m/>
    <m/>
    <m/>
    <m/>
    <m/>
    <m/>
    <m/>
  </r>
  <r>
    <x v="11"/>
    <x v="12"/>
    <m/>
    <m/>
    <m/>
    <m/>
    <m/>
    <m/>
    <m/>
  </r>
  <r>
    <x v="12"/>
    <x v="0"/>
    <m/>
    <m/>
    <m/>
    <m/>
    <m/>
    <m/>
    <m/>
  </r>
  <r>
    <x v="12"/>
    <x v="1"/>
    <m/>
    <m/>
    <n v="1"/>
    <m/>
    <m/>
    <m/>
    <m/>
  </r>
  <r>
    <x v="12"/>
    <x v="2"/>
    <m/>
    <m/>
    <n v="1"/>
    <m/>
    <m/>
    <m/>
    <m/>
  </r>
  <r>
    <x v="12"/>
    <x v="3"/>
    <m/>
    <m/>
    <n v="1"/>
    <m/>
    <m/>
    <m/>
    <m/>
  </r>
  <r>
    <x v="12"/>
    <x v="4"/>
    <m/>
    <m/>
    <n v="1"/>
    <m/>
    <m/>
    <m/>
    <m/>
  </r>
  <r>
    <x v="12"/>
    <x v="5"/>
    <m/>
    <m/>
    <m/>
    <m/>
    <m/>
    <m/>
    <m/>
  </r>
  <r>
    <x v="12"/>
    <x v="6"/>
    <m/>
    <m/>
    <n v="1"/>
    <m/>
    <m/>
    <m/>
    <m/>
  </r>
  <r>
    <x v="12"/>
    <x v="7"/>
    <m/>
    <m/>
    <m/>
    <m/>
    <m/>
    <m/>
    <m/>
  </r>
  <r>
    <x v="12"/>
    <x v="8"/>
    <m/>
    <m/>
    <n v="1"/>
    <m/>
    <m/>
    <m/>
    <m/>
  </r>
  <r>
    <x v="12"/>
    <x v="9"/>
    <m/>
    <m/>
    <n v="1"/>
    <m/>
    <m/>
    <m/>
    <m/>
  </r>
  <r>
    <x v="12"/>
    <x v="10"/>
    <m/>
    <m/>
    <n v="1"/>
    <m/>
    <m/>
    <m/>
    <m/>
  </r>
  <r>
    <x v="12"/>
    <x v="11"/>
    <m/>
    <m/>
    <m/>
    <m/>
    <m/>
    <m/>
    <m/>
  </r>
  <r>
    <x v="12"/>
    <x v="12"/>
    <m/>
    <m/>
    <m/>
    <m/>
    <m/>
    <m/>
    <m/>
  </r>
  <r>
    <x v="13"/>
    <x v="0"/>
    <m/>
    <m/>
    <m/>
    <m/>
    <m/>
    <m/>
    <m/>
  </r>
  <r>
    <x v="13"/>
    <x v="1"/>
    <m/>
    <m/>
    <m/>
    <m/>
    <m/>
    <m/>
    <m/>
  </r>
  <r>
    <x v="13"/>
    <x v="2"/>
    <m/>
    <m/>
    <m/>
    <m/>
    <m/>
    <m/>
    <m/>
  </r>
  <r>
    <x v="13"/>
    <x v="3"/>
    <m/>
    <m/>
    <m/>
    <m/>
    <m/>
    <m/>
    <m/>
  </r>
  <r>
    <x v="13"/>
    <x v="4"/>
    <m/>
    <m/>
    <m/>
    <m/>
    <m/>
    <m/>
    <m/>
  </r>
  <r>
    <x v="13"/>
    <x v="5"/>
    <m/>
    <m/>
    <m/>
    <m/>
    <m/>
    <m/>
    <m/>
  </r>
  <r>
    <x v="13"/>
    <x v="6"/>
    <m/>
    <m/>
    <m/>
    <m/>
    <m/>
    <m/>
    <m/>
  </r>
  <r>
    <x v="13"/>
    <x v="7"/>
    <m/>
    <m/>
    <m/>
    <m/>
    <m/>
    <m/>
    <m/>
  </r>
  <r>
    <x v="13"/>
    <x v="8"/>
    <m/>
    <m/>
    <m/>
    <m/>
    <m/>
    <m/>
    <m/>
  </r>
  <r>
    <x v="13"/>
    <x v="9"/>
    <m/>
    <m/>
    <m/>
    <m/>
    <m/>
    <m/>
    <m/>
  </r>
  <r>
    <x v="13"/>
    <x v="10"/>
    <m/>
    <m/>
    <m/>
    <m/>
    <m/>
    <m/>
    <m/>
  </r>
  <r>
    <x v="13"/>
    <x v="11"/>
    <m/>
    <m/>
    <m/>
    <m/>
    <m/>
    <m/>
    <m/>
  </r>
  <r>
    <x v="13"/>
    <x v="12"/>
    <m/>
    <m/>
    <m/>
    <m/>
    <m/>
    <m/>
    <m/>
  </r>
  <r>
    <x v="14"/>
    <x v="0"/>
    <m/>
    <m/>
    <m/>
    <m/>
    <m/>
    <m/>
    <m/>
  </r>
  <r>
    <x v="14"/>
    <x v="1"/>
    <m/>
    <m/>
    <m/>
    <m/>
    <m/>
    <m/>
    <m/>
  </r>
  <r>
    <x v="14"/>
    <x v="2"/>
    <m/>
    <m/>
    <m/>
    <m/>
    <m/>
    <m/>
    <m/>
  </r>
  <r>
    <x v="14"/>
    <x v="3"/>
    <m/>
    <m/>
    <m/>
    <m/>
    <m/>
    <m/>
    <m/>
  </r>
  <r>
    <x v="14"/>
    <x v="4"/>
    <m/>
    <m/>
    <n v="20"/>
    <m/>
    <m/>
    <m/>
    <m/>
  </r>
  <r>
    <x v="14"/>
    <x v="5"/>
    <m/>
    <m/>
    <n v="1"/>
    <m/>
    <m/>
    <m/>
    <m/>
  </r>
  <r>
    <x v="14"/>
    <x v="6"/>
    <m/>
    <m/>
    <m/>
    <m/>
    <m/>
    <m/>
    <m/>
  </r>
  <r>
    <x v="14"/>
    <x v="7"/>
    <m/>
    <m/>
    <m/>
    <m/>
    <m/>
    <m/>
    <m/>
  </r>
  <r>
    <x v="14"/>
    <x v="8"/>
    <m/>
    <m/>
    <m/>
    <m/>
    <m/>
    <m/>
    <m/>
  </r>
  <r>
    <x v="14"/>
    <x v="9"/>
    <m/>
    <m/>
    <n v="25"/>
    <m/>
    <m/>
    <m/>
    <m/>
  </r>
  <r>
    <x v="14"/>
    <x v="10"/>
    <m/>
    <m/>
    <m/>
    <m/>
    <m/>
    <m/>
    <m/>
  </r>
  <r>
    <x v="14"/>
    <x v="11"/>
    <m/>
    <m/>
    <n v="2"/>
    <m/>
    <m/>
    <m/>
    <m/>
  </r>
  <r>
    <x v="14"/>
    <x v="12"/>
    <m/>
    <m/>
    <m/>
    <m/>
    <m/>
    <m/>
    <m/>
  </r>
  <r>
    <x v="15"/>
    <x v="0"/>
    <m/>
    <m/>
    <m/>
    <m/>
    <m/>
    <m/>
    <m/>
  </r>
  <r>
    <x v="15"/>
    <x v="1"/>
    <m/>
    <m/>
    <n v="4"/>
    <m/>
    <m/>
    <m/>
    <m/>
  </r>
  <r>
    <x v="15"/>
    <x v="2"/>
    <m/>
    <m/>
    <n v="8"/>
    <m/>
    <m/>
    <m/>
    <m/>
  </r>
  <r>
    <x v="15"/>
    <x v="3"/>
    <m/>
    <m/>
    <n v="4"/>
    <m/>
    <m/>
    <m/>
    <m/>
  </r>
  <r>
    <x v="15"/>
    <x v="4"/>
    <m/>
    <m/>
    <n v="8"/>
    <m/>
    <m/>
    <m/>
    <m/>
  </r>
  <r>
    <x v="15"/>
    <x v="5"/>
    <m/>
    <m/>
    <n v="8"/>
    <m/>
    <m/>
    <m/>
    <m/>
  </r>
  <r>
    <x v="15"/>
    <x v="6"/>
    <m/>
    <m/>
    <n v="8"/>
    <m/>
    <m/>
    <m/>
    <m/>
  </r>
  <r>
    <x v="15"/>
    <x v="7"/>
    <m/>
    <m/>
    <n v="8"/>
    <m/>
    <m/>
    <m/>
    <m/>
  </r>
  <r>
    <x v="15"/>
    <x v="8"/>
    <m/>
    <m/>
    <n v="8"/>
    <m/>
    <m/>
    <m/>
    <m/>
  </r>
  <r>
    <x v="15"/>
    <x v="9"/>
    <m/>
    <m/>
    <n v="9"/>
    <m/>
    <m/>
    <m/>
    <m/>
  </r>
  <r>
    <x v="15"/>
    <x v="10"/>
    <m/>
    <m/>
    <n v="4"/>
    <m/>
    <m/>
    <m/>
    <m/>
  </r>
  <r>
    <x v="15"/>
    <x v="11"/>
    <m/>
    <m/>
    <n v="1"/>
    <m/>
    <m/>
    <m/>
    <m/>
  </r>
  <r>
    <x v="15"/>
    <x v="12"/>
    <m/>
    <m/>
    <m/>
    <m/>
    <m/>
    <m/>
    <m/>
  </r>
  <r>
    <x v="16"/>
    <x v="0"/>
    <m/>
    <m/>
    <m/>
    <m/>
    <m/>
    <m/>
    <m/>
  </r>
  <r>
    <x v="16"/>
    <x v="1"/>
    <m/>
    <n v="3"/>
    <m/>
    <m/>
    <m/>
    <m/>
    <m/>
  </r>
  <r>
    <x v="16"/>
    <x v="2"/>
    <m/>
    <n v="1"/>
    <m/>
    <m/>
    <m/>
    <m/>
    <m/>
  </r>
  <r>
    <x v="16"/>
    <x v="3"/>
    <m/>
    <n v="2"/>
    <n v="1"/>
    <m/>
    <m/>
    <m/>
    <m/>
  </r>
  <r>
    <x v="16"/>
    <x v="4"/>
    <m/>
    <n v="3"/>
    <m/>
    <m/>
    <m/>
    <m/>
    <m/>
  </r>
  <r>
    <x v="16"/>
    <x v="5"/>
    <m/>
    <n v="1"/>
    <m/>
    <m/>
    <m/>
    <m/>
    <m/>
  </r>
  <r>
    <x v="16"/>
    <x v="6"/>
    <m/>
    <n v="3"/>
    <n v="1"/>
    <m/>
    <m/>
    <m/>
    <m/>
  </r>
  <r>
    <x v="16"/>
    <x v="7"/>
    <m/>
    <n v="9"/>
    <m/>
    <m/>
    <m/>
    <m/>
    <m/>
  </r>
  <r>
    <x v="16"/>
    <x v="8"/>
    <m/>
    <m/>
    <m/>
    <m/>
    <m/>
    <m/>
    <m/>
  </r>
  <r>
    <x v="16"/>
    <x v="9"/>
    <m/>
    <n v="2"/>
    <m/>
    <m/>
    <m/>
    <m/>
    <m/>
  </r>
  <r>
    <x v="16"/>
    <x v="10"/>
    <m/>
    <m/>
    <m/>
    <m/>
    <m/>
    <m/>
    <m/>
  </r>
  <r>
    <x v="16"/>
    <x v="11"/>
    <m/>
    <m/>
    <m/>
    <m/>
    <m/>
    <m/>
    <m/>
  </r>
  <r>
    <x v="16"/>
    <x v="12"/>
    <m/>
    <m/>
    <m/>
    <m/>
    <m/>
    <m/>
    <m/>
  </r>
  <r>
    <x v="17"/>
    <x v="0"/>
    <m/>
    <m/>
    <m/>
    <m/>
    <m/>
    <m/>
    <m/>
  </r>
  <r>
    <x v="17"/>
    <x v="1"/>
    <m/>
    <m/>
    <m/>
    <m/>
    <m/>
    <m/>
    <m/>
  </r>
  <r>
    <x v="17"/>
    <x v="2"/>
    <m/>
    <m/>
    <m/>
    <m/>
    <m/>
    <m/>
    <m/>
  </r>
  <r>
    <x v="17"/>
    <x v="3"/>
    <m/>
    <m/>
    <n v="1"/>
    <m/>
    <m/>
    <m/>
    <m/>
  </r>
  <r>
    <x v="17"/>
    <x v="4"/>
    <m/>
    <m/>
    <n v="1"/>
    <m/>
    <m/>
    <m/>
    <m/>
  </r>
  <r>
    <x v="17"/>
    <x v="5"/>
    <m/>
    <m/>
    <m/>
    <m/>
    <m/>
    <m/>
    <m/>
  </r>
  <r>
    <x v="17"/>
    <x v="6"/>
    <m/>
    <m/>
    <n v="1"/>
    <m/>
    <m/>
    <m/>
    <m/>
  </r>
  <r>
    <x v="17"/>
    <x v="7"/>
    <m/>
    <m/>
    <m/>
    <m/>
    <m/>
    <m/>
    <m/>
  </r>
  <r>
    <x v="17"/>
    <x v="8"/>
    <m/>
    <m/>
    <n v="1"/>
    <m/>
    <m/>
    <m/>
    <m/>
  </r>
  <r>
    <x v="17"/>
    <x v="9"/>
    <m/>
    <m/>
    <m/>
    <m/>
    <m/>
    <m/>
    <m/>
  </r>
  <r>
    <x v="17"/>
    <x v="10"/>
    <m/>
    <m/>
    <m/>
    <m/>
    <m/>
    <m/>
    <m/>
  </r>
  <r>
    <x v="17"/>
    <x v="11"/>
    <m/>
    <m/>
    <m/>
    <m/>
    <m/>
    <m/>
    <m/>
  </r>
  <r>
    <x v="17"/>
    <x v="12"/>
    <m/>
    <m/>
    <m/>
    <m/>
    <m/>
    <m/>
    <m/>
  </r>
  <r>
    <x v="18"/>
    <x v="0"/>
    <m/>
    <m/>
    <n v="29"/>
    <m/>
    <n v="8"/>
    <m/>
    <m/>
  </r>
  <r>
    <x v="18"/>
    <x v="1"/>
    <m/>
    <n v="5"/>
    <n v="22"/>
    <m/>
    <n v="16"/>
    <n v="25"/>
    <m/>
  </r>
  <r>
    <x v="18"/>
    <x v="2"/>
    <m/>
    <n v="6"/>
    <n v="41"/>
    <n v="7"/>
    <n v="61"/>
    <n v="35"/>
    <m/>
  </r>
  <r>
    <x v="18"/>
    <x v="3"/>
    <m/>
    <n v="6"/>
    <n v="33"/>
    <m/>
    <n v="10"/>
    <n v="35"/>
    <m/>
  </r>
  <r>
    <x v="18"/>
    <x v="4"/>
    <m/>
    <n v="1"/>
    <n v="48"/>
    <m/>
    <n v="8"/>
    <n v="11"/>
    <m/>
  </r>
  <r>
    <x v="18"/>
    <x v="5"/>
    <m/>
    <n v="5"/>
    <n v="37"/>
    <n v="10"/>
    <n v="18"/>
    <n v="19"/>
    <m/>
  </r>
  <r>
    <x v="18"/>
    <x v="6"/>
    <m/>
    <n v="1"/>
    <n v="27"/>
    <m/>
    <n v="0"/>
    <n v="4"/>
    <m/>
  </r>
  <r>
    <x v="18"/>
    <x v="7"/>
    <m/>
    <n v="5"/>
    <n v="31"/>
    <n v="10"/>
    <n v="8"/>
    <n v="14"/>
    <m/>
  </r>
  <r>
    <x v="18"/>
    <x v="8"/>
    <n v="4"/>
    <n v="6"/>
    <n v="6"/>
    <m/>
    <n v="0"/>
    <n v="44"/>
    <m/>
  </r>
  <r>
    <x v="18"/>
    <x v="9"/>
    <m/>
    <n v="1"/>
    <n v="37"/>
    <n v="10"/>
    <n v="10"/>
    <n v="4"/>
    <m/>
  </r>
  <r>
    <x v="18"/>
    <x v="10"/>
    <m/>
    <n v="7"/>
    <n v="52"/>
    <m/>
    <n v="9"/>
    <n v="13"/>
    <m/>
  </r>
  <r>
    <x v="18"/>
    <x v="11"/>
    <m/>
    <m/>
    <m/>
    <m/>
    <n v="0"/>
    <n v="1"/>
    <m/>
  </r>
  <r>
    <x v="18"/>
    <x v="12"/>
    <m/>
    <m/>
    <m/>
    <m/>
    <n v="0"/>
    <m/>
    <m/>
  </r>
  <r>
    <x v="19"/>
    <x v="0"/>
    <m/>
    <m/>
    <n v="2"/>
    <m/>
    <m/>
    <n v="2"/>
    <m/>
  </r>
  <r>
    <x v="19"/>
    <x v="1"/>
    <m/>
    <m/>
    <n v="6"/>
    <m/>
    <m/>
    <n v="7"/>
    <m/>
  </r>
  <r>
    <x v="19"/>
    <x v="2"/>
    <m/>
    <m/>
    <n v="10"/>
    <m/>
    <m/>
    <n v="7"/>
    <m/>
  </r>
  <r>
    <x v="19"/>
    <x v="3"/>
    <m/>
    <m/>
    <n v="3"/>
    <m/>
    <m/>
    <n v="7"/>
    <m/>
  </r>
  <r>
    <x v="19"/>
    <x v="4"/>
    <m/>
    <m/>
    <n v="12"/>
    <m/>
    <m/>
    <n v="7"/>
    <m/>
  </r>
  <r>
    <x v="19"/>
    <x v="5"/>
    <m/>
    <m/>
    <n v="10"/>
    <m/>
    <m/>
    <n v="8"/>
    <m/>
  </r>
  <r>
    <x v="19"/>
    <x v="6"/>
    <m/>
    <m/>
    <n v="11"/>
    <m/>
    <m/>
    <n v="7"/>
    <m/>
  </r>
  <r>
    <x v="19"/>
    <x v="7"/>
    <m/>
    <m/>
    <n v="10"/>
    <m/>
    <m/>
    <n v="9"/>
    <m/>
  </r>
  <r>
    <x v="19"/>
    <x v="8"/>
    <m/>
    <m/>
    <n v="12"/>
    <m/>
    <m/>
    <n v="8"/>
    <m/>
  </r>
  <r>
    <x v="19"/>
    <x v="9"/>
    <m/>
    <m/>
    <n v="10"/>
    <m/>
    <m/>
    <n v="7"/>
    <m/>
  </r>
  <r>
    <x v="19"/>
    <x v="10"/>
    <m/>
    <m/>
    <n v="7"/>
    <m/>
    <m/>
    <n v="14"/>
    <m/>
  </r>
  <r>
    <x v="19"/>
    <x v="11"/>
    <m/>
    <m/>
    <n v="0"/>
    <m/>
    <m/>
    <n v="0"/>
    <m/>
  </r>
  <r>
    <x v="19"/>
    <x v="12"/>
    <m/>
    <m/>
    <n v="0"/>
    <m/>
    <m/>
    <n v="0"/>
    <m/>
  </r>
  <r>
    <x v="20"/>
    <x v="0"/>
    <m/>
    <m/>
    <m/>
    <m/>
    <m/>
    <m/>
    <m/>
  </r>
  <r>
    <x v="20"/>
    <x v="1"/>
    <m/>
    <m/>
    <m/>
    <m/>
    <m/>
    <m/>
    <m/>
  </r>
  <r>
    <x v="20"/>
    <x v="2"/>
    <n v="1"/>
    <m/>
    <m/>
    <m/>
    <m/>
    <m/>
    <m/>
  </r>
  <r>
    <x v="20"/>
    <x v="3"/>
    <m/>
    <m/>
    <m/>
    <m/>
    <m/>
    <m/>
    <m/>
  </r>
  <r>
    <x v="20"/>
    <x v="4"/>
    <m/>
    <m/>
    <m/>
    <m/>
    <m/>
    <m/>
    <m/>
  </r>
  <r>
    <x v="20"/>
    <x v="5"/>
    <m/>
    <m/>
    <m/>
    <m/>
    <m/>
    <m/>
    <m/>
  </r>
  <r>
    <x v="20"/>
    <x v="6"/>
    <m/>
    <m/>
    <m/>
    <m/>
    <m/>
    <m/>
    <m/>
  </r>
  <r>
    <x v="20"/>
    <x v="7"/>
    <m/>
    <m/>
    <m/>
    <m/>
    <m/>
    <m/>
    <m/>
  </r>
  <r>
    <x v="20"/>
    <x v="8"/>
    <m/>
    <m/>
    <m/>
    <m/>
    <m/>
    <m/>
    <m/>
  </r>
  <r>
    <x v="20"/>
    <x v="9"/>
    <m/>
    <m/>
    <m/>
    <m/>
    <m/>
    <m/>
    <m/>
  </r>
  <r>
    <x v="20"/>
    <x v="10"/>
    <m/>
    <m/>
    <m/>
    <m/>
    <m/>
    <m/>
    <m/>
  </r>
  <r>
    <x v="20"/>
    <x v="11"/>
    <m/>
    <m/>
    <m/>
    <m/>
    <m/>
    <m/>
    <m/>
  </r>
  <r>
    <x v="20"/>
    <x v="12"/>
    <m/>
    <m/>
    <m/>
    <m/>
    <m/>
    <m/>
    <m/>
  </r>
  <r>
    <x v="21"/>
    <x v="0"/>
    <m/>
    <m/>
    <m/>
    <m/>
    <m/>
    <m/>
    <m/>
  </r>
  <r>
    <x v="21"/>
    <x v="1"/>
    <m/>
    <m/>
    <m/>
    <n v="2"/>
    <m/>
    <m/>
    <m/>
  </r>
  <r>
    <x v="21"/>
    <x v="2"/>
    <m/>
    <m/>
    <m/>
    <n v="3"/>
    <m/>
    <m/>
    <m/>
  </r>
  <r>
    <x v="21"/>
    <x v="3"/>
    <m/>
    <m/>
    <m/>
    <m/>
    <m/>
    <m/>
    <m/>
  </r>
  <r>
    <x v="21"/>
    <x v="4"/>
    <m/>
    <m/>
    <m/>
    <n v="2"/>
    <m/>
    <m/>
    <m/>
  </r>
  <r>
    <x v="21"/>
    <x v="5"/>
    <m/>
    <m/>
    <m/>
    <n v="2"/>
    <m/>
    <m/>
    <m/>
  </r>
  <r>
    <x v="21"/>
    <x v="6"/>
    <m/>
    <m/>
    <m/>
    <n v="3"/>
    <m/>
    <m/>
    <m/>
  </r>
  <r>
    <x v="21"/>
    <x v="7"/>
    <m/>
    <m/>
    <m/>
    <m/>
    <m/>
    <m/>
    <m/>
  </r>
  <r>
    <x v="21"/>
    <x v="8"/>
    <m/>
    <m/>
    <m/>
    <n v="3"/>
    <m/>
    <m/>
    <m/>
  </r>
  <r>
    <x v="21"/>
    <x v="9"/>
    <m/>
    <m/>
    <m/>
    <n v="2"/>
    <m/>
    <m/>
    <m/>
  </r>
  <r>
    <x v="21"/>
    <x v="10"/>
    <m/>
    <m/>
    <m/>
    <n v="2"/>
    <m/>
    <m/>
    <m/>
  </r>
  <r>
    <x v="21"/>
    <x v="11"/>
    <m/>
    <m/>
    <m/>
    <m/>
    <m/>
    <m/>
    <m/>
  </r>
  <r>
    <x v="21"/>
    <x v="12"/>
    <m/>
    <m/>
    <m/>
    <m/>
    <m/>
    <m/>
    <m/>
  </r>
  <r>
    <x v="22"/>
    <x v="0"/>
    <m/>
    <m/>
    <m/>
    <m/>
    <m/>
    <m/>
    <m/>
  </r>
  <r>
    <x v="22"/>
    <x v="1"/>
    <m/>
    <m/>
    <n v="1"/>
    <m/>
    <m/>
    <m/>
    <m/>
  </r>
  <r>
    <x v="22"/>
    <x v="2"/>
    <m/>
    <m/>
    <m/>
    <m/>
    <m/>
    <m/>
    <m/>
  </r>
  <r>
    <x v="22"/>
    <x v="3"/>
    <m/>
    <m/>
    <n v="1"/>
    <m/>
    <m/>
    <m/>
    <m/>
  </r>
  <r>
    <x v="22"/>
    <x v="4"/>
    <m/>
    <m/>
    <m/>
    <m/>
    <m/>
    <m/>
    <m/>
  </r>
  <r>
    <x v="22"/>
    <x v="5"/>
    <m/>
    <m/>
    <m/>
    <m/>
    <m/>
    <m/>
    <m/>
  </r>
  <r>
    <x v="22"/>
    <x v="6"/>
    <m/>
    <m/>
    <m/>
    <m/>
    <m/>
    <m/>
    <m/>
  </r>
  <r>
    <x v="22"/>
    <x v="7"/>
    <m/>
    <m/>
    <n v="1"/>
    <m/>
    <m/>
    <m/>
    <m/>
  </r>
  <r>
    <x v="22"/>
    <x v="8"/>
    <m/>
    <m/>
    <m/>
    <m/>
    <m/>
    <m/>
    <m/>
  </r>
  <r>
    <x v="22"/>
    <x v="9"/>
    <m/>
    <m/>
    <m/>
    <m/>
    <m/>
    <m/>
    <m/>
  </r>
  <r>
    <x v="22"/>
    <x v="10"/>
    <m/>
    <m/>
    <m/>
    <m/>
    <m/>
    <m/>
    <m/>
  </r>
  <r>
    <x v="22"/>
    <x v="11"/>
    <m/>
    <m/>
    <m/>
    <m/>
    <m/>
    <m/>
    <m/>
  </r>
  <r>
    <x v="22"/>
    <x v="12"/>
    <m/>
    <m/>
    <m/>
    <m/>
    <m/>
    <m/>
    <m/>
  </r>
  <r>
    <x v="23"/>
    <x v="0"/>
    <m/>
    <m/>
    <m/>
    <m/>
    <m/>
    <m/>
    <m/>
  </r>
  <r>
    <x v="23"/>
    <x v="1"/>
    <m/>
    <m/>
    <m/>
    <m/>
    <m/>
    <m/>
    <m/>
  </r>
  <r>
    <x v="23"/>
    <x v="2"/>
    <m/>
    <m/>
    <m/>
    <m/>
    <m/>
    <m/>
    <m/>
  </r>
  <r>
    <x v="23"/>
    <x v="3"/>
    <m/>
    <m/>
    <m/>
    <m/>
    <m/>
    <m/>
    <m/>
  </r>
  <r>
    <x v="23"/>
    <x v="4"/>
    <m/>
    <m/>
    <m/>
    <m/>
    <m/>
    <m/>
    <m/>
  </r>
  <r>
    <x v="23"/>
    <x v="5"/>
    <m/>
    <m/>
    <m/>
    <m/>
    <m/>
    <m/>
    <m/>
  </r>
  <r>
    <x v="23"/>
    <x v="6"/>
    <m/>
    <m/>
    <m/>
    <m/>
    <m/>
    <m/>
    <m/>
  </r>
  <r>
    <x v="23"/>
    <x v="7"/>
    <m/>
    <m/>
    <m/>
    <m/>
    <m/>
    <m/>
    <m/>
  </r>
  <r>
    <x v="23"/>
    <x v="8"/>
    <m/>
    <m/>
    <m/>
    <m/>
    <m/>
    <m/>
    <m/>
  </r>
  <r>
    <x v="23"/>
    <x v="9"/>
    <m/>
    <m/>
    <m/>
    <m/>
    <m/>
    <m/>
    <m/>
  </r>
  <r>
    <x v="23"/>
    <x v="10"/>
    <m/>
    <m/>
    <m/>
    <m/>
    <m/>
    <m/>
    <m/>
  </r>
  <r>
    <x v="23"/>
    <x v="11"/>
    <m/>
    <m/>
    <m/>
    <m/>
    <m/>
    <m/>
    <m/>
  </r>
  <r>
    <x v="23"/>
    <x v="12"/>
    <m/>
    <m/>
    <m/>
    <m/>
    <m/>
    <m/>
    <m/>
  </r>
  <r>
    <x v="24"/>
    <x v="0"/>
    <m/>
    <m/>
    <m/>
    <m/>
    <m/>
    <m/>
    <m/>
  </r>
  <r>
    <x v="24"/>
    <x v="1"/>
    <m/>
    <n v="3"/>
    <n v="6"/>
    <n v="2"/>
    <n v="1"/>
    <n v="4"/>
    <m/>
  </r>
  <r>
    <x v="24"/>
    <x v="2"/>
    <m/>
    <n v="1"/>
    <n v="6"/>
    <n v="3"/>
    <n v="1"/>
    <n v="1"/>
    <m/>
  </r>
  <r>
    <x v="24"/>
    <x v="3"/>
    <m/>
    <n v="2"/>
    <n v="4"/>
    <m/>
    <m/>
    <m/>
    <m/>
  </r>
  <r>
    <x v="24"/>
    <x v="4"/>
    <m/>
    <n v="3"/>
    <n v="2"/>
    <n v="2"/>
    <n v="1"/>
    <n v="1"/>
    <m/>
  </r>
  <r>
    <x v="24"/>
    <x v="5"/>
    <m/>
    <n v="1"/>
    <n v="2"/>
    <n v="2"/>
    <n v="1"/>
    <n v="1"/>
    <m/>
  </r>
  <r>
    <x v="24"/>
    <x v="6"/>
    <m/>
    <n v="3"/>
    <n v="4"/>
    <n v="3"/>
    <n v="1"/>
    <n v="1"/>
    <m/>
  </r>
  <r>
    <x v="24"/>
    <x v="7"/>
    <n v="1"/>
    <n v="9"/>
    <n v="6"/>
    <m/>
    <n v="1"/>
    <n v="2"/>
    <m/>
  </r>
  <r>
    <x v="24"/>
    <x v="8"/>
    <m/>
    <m/>
    <n v="3"/>
    <n v="3"/>
    <n v="1"/>
    <n v="1"/>
    <m/>
  </r>
  <r>
    <x v="24"/>
    <x v="9"/>
    <m/>
    <n v="2"/>
    <n v="4"/>
    <n v="2"/>
    <n v="1"/>
    <n v="2"/>
    <m/>
  </r>
  <r>
    <x v="24"/>
    <x v="10"/>
    <m/>
    <m/>
    <n v="1"/>
    <n v="2"/>
    <m/>
    <n v="1"/>
    <m/>
  </r>
  <r>
    <x v="24"/>
    <x v="11"/>
    <m/>
    <m/>
    <m/>
    <m/>
    <m/>
    <m/>
    <m/>
  </r>
  <r>
    <x v="24"/>
    <x v="12"/>
    <m/>
    <m/>
    <m/>
    <m/>
    <m/>
    <m/>
    <m/>
  </r>
  <r>
    <x v="25"/>
    <x v="0"/>
    <n v="0"/>
    <n v="0"/>
    <n v="0"/>
    <n v="0"/>
    <n v="0"/>
    <n v="0"/>
    <m/>
  </r>
  <r>
    <x v="25"/>
    <x v="1"/>
    <n v="0"/>
    <n v="6"/>
    <n v="25"/>
    <n v="2"/>
    <n v="3"/>
    <n v="16"/>
    <m/>
  </r>
  <r>
    <x v="25"/>
    <x v="2"/>
    <n v="0"/>
    <n v="10"/>
    <n v="47"/>
    <n v="8"/>
    <n v="6"/>
    <n v="24"/>
    <m/>
  </r>
  <r>
    <x v="25"/>
    <x v="3"/>
    <n v="0"/>
    <n v="3"/>
    <n v="50"/>
    <n v="3"/>
    <n v="0"/>
    <n v="4"/>
    <m/>
  </r>
  <r>
    <x v="25"/>
    <x v="4"/>
    <n v="0"/>
    <n v="9"/>
    <n v="46"/>
    <n v="7"/>
    <n v="4"/>
    <n v="33"/>
    <m/>
  </r>
  <r>
    <x v="25"/>
    <x v="5"/>
    <n v="0"/>
    <n v="10"/>
    <n v="37"/>
    <n v="7"/>
    <n v="4"/>
    <n v="33"/>
    <m/>
  </r>
  <r>
    <x v="25"/>
    <x v="6"/>
    <n v="0"/>
    <n v="10"/>
    <n v="34"/>
    <n v="8"/>
    <n v="5"/>
    <n v="25"/>
    <m/>
  </r>
  <r>
    <x v="25"/>
    <x v="7"/>
    <n v="0"/>
    <n v="7"/>
    <n v="43"/>
    <n v="2"/>
    <n v="3"/>
    <n v="34"/>
    <m/>
  </r>
  <r>
    <x v="25"/>
    <x v="8"/>
    <n v="0"/>
    <n v="9"/>
    <n v="32"/>
    <n v="6"/>
    <n v="4"/>
    <n v="32"/>
    <m/>
  </r>
  <r>
    <x v="25"/>
    <x v="9"/>
    <n v="0"/>
    <n v="8"/>
    <n v="39"/>
    <n v="6"/>
    <n v="6"/>
    <n v="31"/>
    <m/>
  </r>
  <r>
    <x v="25"/>
    <x v="10"/>
    <n v="0"/>
    <n v="6"/>
    <n v="34"/>
    <n v="0"/>
    <n v="0"/>
    <n v="23"/>
    <m/>
  </r>
  <r>
    <x v="25"/>
    <x v="11"/>
    <n v="0"/>
    <n v="0"/>
    <n v="4"/>
    <n v="1"/>
    <n v="0"/>
    <n v="8"/>
    <m/>
  </r>
  <r>
    <x v="25"/>
    <x v="12"/>
    <n v="0"/>
    <n v="0"/>
    <n v="2"/>
    <n v="2"/>
    <n v="0"/>
    <n v="0"/>
    <m/>
  </r>
  <r>
    <x v="26"/>
    <x v="0"/>
    <m/>
    <m/>
    <m/>
    <m/>
    <m/>
    <m/>
    <m/>
  </r>
  <r>
    <x v="26"/>
    <x v="1"/>
    <m/>
    <m/>
    <n v="2"/>
    <m/>
    <m/>
    <n v="2"/>
    <m/>
  </r>
  <r>
    <x v="26"/>
    <x v="2"/>
    <m/>
    <m/>
    <m/>
    <m/>
    <m/>
    <n v="1"/>
    <m/>
  </r>
  <r>
    <x v="26"/>
    <x v="3"/>
    <m/>
    <m/>
    <n v="1"/>
    <m/>
    <m/>
    <m/>
    <m/>
  </r>
  <r>
    <x v="26"/>
    <x v="4"/>
    <m/>
    <m/>
    <m/>
    <m/>
    <m/>
    <n v="2"/>
    <m/>
  </r>
  <r>
    <x v="26"/>
    <x v="5"/>
    <m/>
    <m/>
    <n v="1"/>
    <m/>
    <m/>
    <n v="2"/>
    <m/>
  </r>
  <r>
    <x v="26"/>
    <x v="6"/>
    <m/>
    <m/>
    <n v="2"/>
    <m/>
    <m/>
    <n v="1"/>
    <m/>
  </r>
  <r>
    <x v="26"/>
    <x v="7"/>
    <m/>
    <m/>
    <m/>
    <m/>
    <m/>
    <n v="2"/>
    <m/>
  </r>
  <r>
    <x v="26"/>
    <x v="8"/>
    <m/>
    <m/>
    <n v="2"/>
    <m/>
    <m/>
    <n v="1"/>
    <m/>
  </r>
  <r>
    <x v="26"/>
    <x v="9"/>
    <m/>
    <m/>
    <n v="3"/>
    <m/>
    <m/>
    <n v="1"/>
    <m/>
  </r>
  <r>
    <x v="26"/>
    <x v="10"/>
    <m/>
    <m/>
    <n v="2"/>
    <m/>
    <m/>
    <n v="2"/>
    <m/>
  </r>
  <r>
    <x v="26"/>
    <x v="11"/>
    <m/>
    <m/>
    <m/>
    <m/>
    <m/>
    <m/>
    <m/>
  </r>
  <r>
    <x v="26"/>
    <x v="12"/>
    <m/>
    <m/>
    <m/>
    <m/>
    <m/>
    <m/>
    <m/>
  </r>
  <r>
    <x v="27"/>
    <x v="0"/>
    <m/>
    <m/>
    <m/>
    <m/>
    <m/>
    <m/>
    <m/>
  </r>
  <r>
    <x v="27"/>
    <x v="1"/>
    <m/>
    <m/>
    <m/>
    <m/>
    <n v="1"/>
    <m/>
    <m/>
  </r>
  <r>
    <x v="27"/>
    <x v="2"/>
    <m/>
    <m/>
    <m/>
    <m/>
    <n v="1"/>
    <m/>
    <m/>
  </r>
  <r>
    <x v="27"/>
    <x v="3"/>
    <m/>
    <m/>
    <m/>
    <m/>
    <m/>
    <m/>
    <m/>
  </r>
  <r>
    <x v="27"/>
    <x v="4"/>
    <m/>
    <m/>
    <m/>
    <m/>
    <n v="1"/>
    <m/>
    <m/>
  </r>
  <r>
    <x v="27"/>
    <x v="5"/>
    <m/>
    <m/>
    <m/>
    <m/>
    <n v="1"/>
    <m/>
    <m/>
  </r>
  <r>
    <x v="27"/>
    <x v="6"/>
    <m/>
    <m/>
    <m/>
    <m/>
    <n v="1"/>
    <m/>
    <m/>
  </r>
  <r>
    <x v="27"/>
    <x v="7"/>
    <m/>
    <m/>
    <m/>
    <m/>
    <n v="1"/>
    <m/>
    <m/>
  </r>
  <r>
    <x v="27"/>
    <x v="8"/>
    <m/>
    <m/>
    <m/>
    <m/>
    <n v="1"/>
    <m/>
    <m/>
  </r>
  <r>
    <x v="27"/>
    <x v="9"/>
    <m/>
    <m/>
    <m/>
    <m/>
    <n v="1"/>
    <m/>
    <m/>
  </r>
  <r>
    <x v="27"/>
    <x v="10"/>
    <m/>
    <m/>
    <m/>
    <m/>
    <m/>
    <m/>
    <m/>
  </r>
  <r>
    <x v="27"/>
    <x v="11"/>
    <m/>
    <m/>
    <m/>
    <m/>
    <m/>
    <m/>
    <m/>
  </r>
  <r>
    <x v="27"/>
    <x v="12"/>
    <m/>
    <m/>
    <m/>
    <m/>
    <m/>
    <m/>
    <m/>
  </r>
  <r>
    <x v="28"/>
    <x v="0"/>
    <m/>
    <m/>
    <n v="1"/>
    <m/>
    <m/>
    <m/>
    <m/>
  </r>
  <r>
    <x v="28"/>
    <x v="1"/>
    <m/>
    <m/>
    <n v="2"/>
    <m/>
    <m/>
    <m/>
    <m/>
  </r>
  <r>
    <x v="28"/>
    <x v="2"/>
    <m/>
    <m/>
    <n v="1"/>
    <m/>
    <m/>
    <m/>
    <m/>
  </r>
  <r>
    <x v="28"/>
    <x v="3"/>
    <m/>
    <m/>
    <m/>
    <m/>
    <m/>
    <m/>
    <m/>
  </r>
  <r>
    <x v="28"/>
    <x v="4"/>
    <m/>
    <n v="2"/>
    <m/>
    <m/>
    <m/>
    <m/>
    <m/>
  </r>
  <r>
    <x v="28"/>
    <x v="5"/>
    <m/>
    <n v="2"/>
    <m/>
    <m/>
    <m/>
    <m/>
    <m/>
  </r>
  <r>
    <x v="28"/>
    <x v="6"/>
    <m/>
    <n v="2"/>
    <m/>
    <m/>
    <m/>
    <m/>
    <m/>
  </r>
  <r>
    <x v="28"/>
    <x v="7"/>
    <m/>
    <m/>
    <m/>
    <m/>
    <m/>
    <m/>
    <m/>
  </r>
  <r>
    <x v="28"/>
    <x v="8"/>
    <m/>
    <n v="2"/>
    <n v="2"/>
    <m/>
    <m/>
    <m/>
    <m/>
  </r>
  <r>
    <x v="28"/>
    <x v="9"/>
    <m/>
    <m/>
    <m/>
    <m/>
    <m/>
    <m/>
    <m/>
  </r>
  <r>
    <x v="28"/>
    <x v="10"/>
    <m/>
    <n v="2"/>
    <n v="1"/>
    <m/>
    <m/>
    <m/>
    <m/>
  </r>
  <r>
    <x v="28"/>
    <x v="11"/>
    <m/>
    <m/>
    <m/>
    <m/>
    <m/>
    <m/>
    <m/>
  </r>
  <r>
    <x v="28"/>
    <x v="12"/>
    <m/>
    <m/>
    <m/>
    <m/>
    <m/>
    <m/>
    <m/>
  </r>
  <r>
    <x v="29"/>
    <x v="0"/>
    <m/>
    <m/>
    <m/>
    <m/>
    <m/>
    <m/>
    <m/>
  </r>
  <r>
    <x v="29"/>
    <x v="1"/>
    <m/>
    <m/>
    <m/>
    <m/>
    <m/>
    <n v="1"/>
    <m/>
  </r>
  <r>
    <x v="29"/>
    <x v="2"/>
    <m/>
    <m/>
    <m/>
    <m/>
    <m/>
    <n v="1"/>
    <m/>
  </r>
  <r>
    <x v="29"/>
    <x v="3"/>
    <m/>
    <m/>
    <m/>
    <m/>
    <m/>
    <m/>
    <m/>
  </r>
  <r>
    <x v="29"/>
    <x v="4"/>
    <m/>
    <m/>
    <m/>
    <m/>
    <m/>
    <n v="1"/>
    <m/>
  </r>
  <r>
    <x v="29"/>
    <x v="5"/>
    <m/>
    <m/>
    <m/>
    <m/>
    <m/>
    <n v="1"/>
    <m/>
  </r>
  <r>
    <x v="29"/>
    <x v="6"/>
    <m/>
    <m/>
    <m/>
    <m/>
    <m/>
    <n v="1"/>
    <m/>
  </r>
  <r>
    <x v="29"/>
    <x v="7"/>
    <m/>
    <m/>
    <m/>
    <m/>
    <m/>
    <n v="1"/>
    <m/>
  </r>
  <r>
    <x v="29"/>
    <x v="8"/>
    <m/>
    <m/>
    <m/>
    <m/>
    <m/>
    <n v="1"/>
    <m/>
  </r>
  <r>
    <x v="29"/>
    <x v="9"/>
    <m/>
    <m/>
    <m/>
    <m/>
    <m/>
    <m/>
    <m/>
  </r>
  <r>
    <x v="29"/>
    <x v="10"/>
    <m/>
    <m/>
    <m/>
    <m/>
    <m/>
    <n v="1"/>
    <m/>
  </r>
  <r>
    <x v="29"/>
    <x v="11"/>
    <m/>
    <m/>
    <m/>
    <m/>
    <m/>
    <m/>
    <m/>
  </r>
  <r>
    <x v="29"/>
    <x v="12"/>
    <m/>
    <m/>
    <m/>
    <m/>
    <m/>
    <m/>
    <m/>
  </r>
  <r>
    <x v="30"/>
    <x v="0"/>
    <m/>
    <n v="1"/>
    <m/>
    <m/>
    <m/>
    <m/>
    <m/>
  </r>
  <r>
    <x v="30"/>
    <x v="1"/>
    <m/>
    <n v="1"/>
    <m/>
    <m/>
    <m/>
    <m/>
    <m/>
  </r>
  <r>
    <x v="30"/>
    <x v="2"/>
    <m/>
    <n v="1"/>
    <m/>
    <m/>
    <m/>
    <m/>
    <m/>
  </r>
  <r>
    <x v="30"/>
    <x v="3"/>
    <m/>
    <n v="1"/>
    <m/>
    <m/>
    <m/>
    <m/>
    <m/>
  </r>
  <r>
    <x v="30"/>
    <x v="4"/>
    <m/>
    <m/>
    <m/>
    <m/>
    <m/>
    <m/>
    <m/>
  </r>
  <r>
    <x v="30"/>
    <x v="5"/>
    <m/>
    <n v="1"/>
    <m/>
    <m/>
    <m/>
    <m/>
    <m/>
  </r>
  <r>
    <x v="30"/>
    <x v="6"/>
    <m/>
    <n v="1"/>
    <m/>
    <m/>
    <m/>
    <m/>
    <m/>
  </r>
  <r>
    <x v="30"/>
    <x v="7"/>
    <m/>
    <m/>
    <m/>
    <m/>
    <m/>
    <m/>
    <m/>
  </r>
  <r>
    <x v="30"/>
    <x v="8"/>
    <m/>
    <n v="1"/>
    <m/>
    <m/>
    <m/>
    <m/>
    <m/>
  </r>
  <r>
    <x v="30"/>
    <x v="9"/>
    <m/>
    <n v="1"/>
    <m/>
    <m/>
    <m/>
    <m/>
    <m/>
  </r>
  <r>
    <x v="30"/>
    <x v="10"/>
    <m/>
    <n v="1"/>
    <m/>
    <m/>
    <m/>
    <m/>
    <m/>
  </r>
  <r>
    <x v="30"/>
    <x v="11"/>
    <m/>
    <m/>
    <m/>
    <m/>
    <m/>
    <m/>
    <m/>
  </r>
  <r>
    <x v="30"/>
    <x v="12"/>
    <m/>
    <m/>
    <m/>
    <m/>
    <m/>
    <m/>
    <m/>
  </r>
  <r>
    <x v="31"/>
    <x v="0"/>
    <m/>
    <m/>
    <m/>
    <m/>
    <m/>
    <m/>
    <m/>
  </r>
  <r>
    <x v="31"/>
    <x v="1"/>
    <m/>
    <m/>
    <n v="2"/>
    <m/>
    <m/>
    <m/>
    <m/>
  </r>
  <r>
    <x v="31"/>
    <x v="2"/>
    <m/>
    <m/>
    <n v="2"/>
    <m/>
    <m/>
    <m/>
    <m/>
  </r>
  <r>
    <x v="31"/>
    <x v="3"/>
    <m/>
    <m/>
    <n v="2"/>
    <m/>
    <m/>
    <m/>
    <m/>
  </r>
  <r>
    <x v="31"/>
    <x v="4"/>
    <m/>
    <m/>
    <n v="2"/>
    <m/>
    <m/>
    <m/>
    <m/>
  </r>
  <r>
    <x v="31"/>
    <x v="5"/>
    <m/>
    <m/>
    <m/>
    <m/>
    <m/>
    <m/>
    <m/>
  </r>
  <r>
    <x v="31"/>
    <x v="6"/>
    <m/>
    <m/>
    <n v="2"/>
    <m/>
    <m/>
    <m/>
    <m/>
  </r>
  <r>
    <x v="31"/>
    <x v="7"/>
    <m/>
    <m/>
    <n v="2"/>
    <m/>
    <m/>
    <m/>
    <m/>
  </r>
  <r>
    <x v="31"/>
    <x v="8"/>
    <m/>
    <m/>
    <n v="4"/>
    <m/>
    <m/>
    <m/>
    <m/>
  </r>
  <r>
    <x v="31"/>
    <x v="9"/>
    <m/>
    <m/>
    <n v="2"/>
    <m/>
    <m/>
    <m/>
    <m/>
  </r>
  <r>
    <x v="31"/>
    <x v="10"/>
    <m/>
    <m/>
    <m/>
    <m/>
    <m/>
    <m/>
    <m/>
  </r>
  <r>
    <x v="31"/>
    <x v="11"/>
    <m/>
    <m/>
    <m/>
    <m/>
    <m/>
    <m/>
    <m/>
  </r>
  <r>
    <x v="31"/>
    <x v="12"/>
    <m/>
    <m/>
    <m/>
    <m/>
    <m/>
    <m/>
    <m/>
  </r>
  <r>
    <x v="32"/>
    <x v="0"/>
    <m/>
    <m/>
    <n v="2"/>
    <m/>
    <m/>
    <m/>
    <m/>
  </r>
  <r>
    <x v="32"/>
    <x v="1"/>
    <m/>
    <m/>
    <n v="2"/>
    <m/>
    <m/>
    <m/>
    <m/>
  </r>
  <r>
    <x v="32"/>
    <x v="2"/>
    <m/>
    <m/>
    <n v="6"/>
    <m/>
    <m/>
    <m/>
    <m/>
  </r>
  <r>
    <x v="32"/>
    <x v="3"/>
    <m/>
    <m/>
    <n v="3"/>
    <m/>
    <m/>
    <m/>
    <m/>
  </r>
  <r>
    <x v="32"/>
    <x v="4"/>
    <m/>
    <m/>
    <n v="8"/>
    <m/>
    <m/>
    <m/>
    <m/>
  </r>
  <r>
    <x v="32"/>
    <x v="5"/>
    <m/>
    <m/>
    <n v="6"/>
    <m/>
    <m/>
    <m/>
    <m/>
  </r>
  <r>
    <x v="32"/>
    <x v="6"/>
    <m/>
    <m/>
    <n v="6"/>
    <m/>
    <m/>
    <m/>
    <m/>
  </r>
  <r>
    <x v="32"/>
    <x v="7"/>
    <m/>
    <m/>
    <n v="6"/>
    <m/>
    <m/>
    <m/>
    <m/>
  </r>
  <r>
    <x v="32"/>
    <x v="8"/>
    <m/>
    <m/>
    <n v="6"/>
    <m/>
    <m/>
    <m/>
    <m/>
  </r>
  <r>
    <x v="32"/>
    <x v="9"/>
    <m/>
    <m/>
    <n v="6"/>
    <m/>
    <m/>
    <m/>
    <m/>
  </r>
  <r>
    <x v="32"/>
    <x v="10"/>
    <m/>
    <m/>
    <n v="6"/>
    <m/>
    <m/>
    <m/>
    <m/>
  </r>
  <r>
    <x v="32"/>
    <x v="11"/>
    <m/>
    <m/>
    <m/>
    <m/>
    <m/>
    <m/>
    <m/>
  </r>
  <r>
    <x v="32"/>
    <x v="12"/>
    <m/>
    <m/>
    <m/>
    <m/>
    <m/>
    <m/>
    <m/>
  </r>
  <r>
    <x v="33"/>
    <x v="0"/>
    <m/>
    <m/>
    <m/>
    <m/>
    <m/>
    <m/>
    <m/>
  </r>
  <r>
    <x v="33"/>
    <x v="1"/>
    <m/>
    <m/>
    <m/>
    <m/>
    <m/>
    <m/>
    <m/>
  </r>
  <r>
    <x v="33"/>
    <x v="2"/>
    <m/>
    <m/>
    <n v="3"/>
    <m/>
    <m/>
    <m/>
    <m/>
  </r>
  <r>
    <x v="33"/>
    <x v="3"/>
    <m/>
    <m/>
    <m/>
    <m/>
    <m/>
    <m/>
    <m/>
  </r>
  <r>
    <x v="33"/>
    <x v="4"/>
    <m/>
    <m/>
    <n v="9"/>
    <m/>
    <m/>
    <m/>
    <m/>
  </r>
  <r>
    <x v="33"/>
    <x v="5"/>
    <m/>
    <m/>
    <n v="9"/>
    <m/>
    <m/>
    <m/>
    <m/>
  </r>
  <r>
    <x v="33"/>
    <x v="6"/>
    <m/>
    <m/>
    <n v="3"/>
    <m/>
    <m/>
    <m/>
    <m/>
  </r>
  <r>
    <x v="33"/>
    <x v="7"/>
    <m/>
    <m/>
    <n v="3"/>
    <m/>
    <m/>
    <m/>
    <m/>
  </r>
  <r>
    <x v="33"/>
    <x v="8"/>
    <m/>
    <m/>
    <n v="3"/>
    <m/>
    <m/>
    <m/>
    <m/>
  </r>
  <r>
    <x v="33"/>
    <x v="9"/>
    <m/>
    <m/>
    <n v="9"/>
    <m/>
    <m/>
    <m/>
    <m/>
  </r>
  <r>
    <x v="33"/>
    <x v="10"/>
    <m/>
    <m/>
    <m/>
    <m/>
    <m/>
    <m/>
    <m/>
  </r>
  <r>
    <x v="33"/>
    <x v="11"/>
    <m/>
    <m/>
    <n v="1"/>
    <m/>
    <m/>
    <m/>
    <m/>
  </r>
  <r>
    <x v="33"/>
    <x v="12"/>
    <m/>
    <m/>
    <m/>
    <m/>
    <m/>
    <m/>
    <m/>
  </r>
  <r>
    <x v="34"/>
    <x v="0"/>
    <m/>
    <m/>
    <m/>
    <m/>
    <m/>
    <m/>
    <m/>
  </r>
  <r>
    <x v="34"/>
    <x v="1"/>
    <m/>
    <m/>
    <m/>
    <m/>
    <m/>
    <m/>
    <m/>
  </r>
  <r>
    <x v="34"/>
    <x v="2"/>
    <m/>
    <m/>
    <m/>
    <m/>
    <m/>
    <m/>
    <m/>
  </r>
  <r>
    <x v="34"/>
    <x v="3"/>
    <m/>
    <m/>
    <m/>
    <m/>
    <m/>
    <m/>
    <m/>
  </r>
  <r>
    <x v="34"/>
    <x v="4"/>
    <m/>
    <m/>
    <m/>
    <m/>
    <m/>
    <m/>
    <m/>
  </r>
  <r>
    <x v="34"/>
    <x v="5"/>
    <m/>
    <m/>
    <m/>
    <m/>
    <m/>
    <m/>
    <m/>
  </r>
  <r>
    <x v="34"/>
    <x v="6"/>
    <m/>
    <m/>
    <m/>
    <m/>
    <m/>
    <m/>
    <m/>
  </r>
  <r>
    <x v="34"/>
    <x v="7"/>
    <m/>
    <m/>
    <m/>
    <m/>
    <m/>
    <m/>
    <m/>
  </r>
  <r>
    <x v="34"/>
    <x v="8"/>
    <m/>
    <m/>
    <m/>
    <m/>
    <m/>
    <m/>
    <m/>
  </r>
  <r>
    <x v="34"/>
    <x v="9"/>
    <m/>
    <m/>
    <m/>
    <m/>
    <m/>
    <m/>
    <m/>
  </r>
  <r>
    <x v="34"/>
    <x v="10"/>
    <m/>
    <m/>
    <m/>
    <m/>
    <m/>
    <m/>
    <m/>
  </r>
  <r>
    <x v="34"/>
    <x v="11"/>
    <m/>
    <m/>
    <m/>
    <m/>
    <m/>
    <m/>
    <m/>
  </r>
  <r>
    <x v="34"/>
    <x v="12"/>
    <m/>
    <m/>
    <m/>
    <m/>
    <m/>
    <m/>
    <m/>
  </r>
  <r>
    <x v="35"/>
    <x v="0"/>
    <m/>
    <m/>
    <m/>
    <m/>
    <m/>
    <m/>
    <m/>
  </r>
  <r>
    <x v="35"/>
    <x v="1"/>
    <m/>
    <m/>
    <m/>
    <m/>
    <m/>
    <m/>
    <m/>
  </r>
  <r>
    <x v="35"/>
    <x v="2"/>
    <m/>
    <n v="1"/>
    <m/>
    <m/>
    <m/>
    <m/>
    <m/>
  </r>
  <r>
    <x v="35"/>
    <x v="3"/>
    <m/>
    <m/>
    <m/>
    <m/>
    <m/>
    <m/>
    <m/>
  </r>
  <r>
    <x v="35"/>
    <x v="4"/>
    <m/>
    <n v="3"/>
    <m/>
    <m/>
    <m/>
    <m/>
    <m/>
  </r>
  <r>
    <x v="35"/>
    <x v="5"/>
    <m/>
    <n v="3"/>
    <n v="1"/>
    <m/>
    <m/>
    <m/>
    <m/>
  </r>
  <r>
    <x v="35"/>
    <x v="6"/>
    <m/>
    <n v="3"/>
    <m/>
    <m/>
    <m/>
    <m/>
    <m/>
  </r>
  <r>
    <x v="35"/>
    <x v="7"/>
    <m/>
    <n v="1"/>
    <m/>
    <m/>
    <m/>
    <m/>
    <m/>
  </r>
  <r>
    <x v="35"/>
    <x v="8"/>
    <m/>
    <n v="2"/>
    <m/>
    <m/>
    <m/>
    <m/>
    <m/>
  </r>
  <r>
    <x v="35"/>
    <x v="9"/>
    <m/>
    <n v="3"/>
    <n v="1"/>
    <m/>
    <m/>
    <m/>
    <m/>
  </r>
  <r>
    <x v="35"/>
    <x v="10"/>
    <m/>
    <n v="3"/>
    <m/>
    <m/>
    <m/>
    <m/>
    <m/>
  </r>
  <r>
    <x v="35"/>
    <x v="11"/>
    <m/>
    <m/>
    <m/>
    <m/>
    <m/>
    <m/>
    <m/>
  </r>
  <r>
    <x v="35"/>
    <x v="12"/>
    <m/>
    <m/>
    <m/>
    <m/>
    <m/>
    <m/>
    <m/>
  </r>
  <r>
    <x v="36"/>
    <x v="0"/>
    <m/>
    <m/>
    <m/>
    <m/>
    <m/>
    <m/>
    <m/>
  </r>
  <r>
    <x v="36"/>
    <x v="1"/>
    <m/>
    <m/>
    <n v="1"/>
    <m/>
    <m/>
    <m/>
    <m/>
  </r>
  <r>
    <x v="36"/>
    <x v="2"/>
    <m/>
    <m/>
    <m/>
    <m/>
    <m/>
    <m/>
    <m/>
  </r>
  <r>
    <x v="36"/>
    <x v="3"/>
    <m/>
    <m/>
    <m/>
    <m/>
    <m/>
    <m/>
    <m/>
  </r>
  <r>
    <x v="36"/>
    <x v="4"/>
    <m/>
    <m/>
    <m/>
    <m/>
    <m/>
    <m/>
    <m/>
  </r>
  <r>
    <x v="36"/>
    <x v="5"/>
    <m/>
    <m/>
    <m/>
    <m/>
    <m/>
    <m/>
    <m/>
  </r>
  <r>
    <x v="36"/>
    <x v="6"/>
    <m/>
    <m/>
    <m/>
    <m/>
    <m/>
    <m/>
    <m/>
  </r>
  <r>
    <x v="36"/>
    <x v="7"/>
    <m/>
    <m/>
    <m/>
    <m/>
    <m/>
    <m/>
    <m/>
  </r>
  <r>
    <x v="36"/>
    <x v="8"/>
    <m/>
    <m/>
    <m/>
    <m/>
    <m/>
    <m/>
    <m/>
  </r>
  <r>
    <x v="36"/>
    <x v="9"/>
    <m/>
    <m/>
    <m/>
    <m/>
    <m/>
    <m/>
    <m/>
  </r>
  <r>
    <x v="36"/>
    <x v="10"/>
    <m/>
    <m/>
    <m/>
    <m/>
    <m/>
    <m/>
    <m/>
  </r>
  <r>
    <x v="36"/>
    <x v="11"/>
    <m/>
    <m/>
    <m/>
    <m/>
    <m/>
    <m/>
    <m/>
  </r>
  <r>
    <x v="36"/>
    <x v="12"/>
    <m/>
    <m/>
    <m/>
    <m/>
    <m/>
    <m/>
    <m/>
  </r>
  <r>
    <x v="37"/>
    <x v="0"/>
    <m/>
    <m/>
    <m/>
    <m/>
    <m/>
    <m/>
    <m/>
  </r>
  <r>
    <x v="37"/>
    <x v="1"/>
    <m/>
    <m/>
    <m/>
    <m/>
    <m/>
    <m/>
    <m/>
  </r>
  <r>
    <x v="37"/>
    <x v="2"/>
    <m/>
    <m/>
    <m/>
    <m/>
    <m/>
    <m/>
    <m/>
  </r>
  <r>
    <x v="37"/>
    <x v="3"/>
    <m/>
    <m/>
    <m/>
    <m/>
    <m/>
    <m/>
    <m/>
  </r>
  <r>
    <x v="37"/>
    <x v="4"/>
    <m/>
    <m/>
    <m/>
    <m/>
    <m/>
    <m/>
    <m/>
  </r>
  <r>
    <x v="37"/>
    <x v="5"/>
    <m/>
    <m/>
    <m/>
    <m/>
    <m/>
    <m/>
    <m/>
  </r>
  <r>
    <x v="37"/>
    <x v="6"/>
    <m/>
    <m/>
    <m/>
    <m/>
    <m/>
    <m/>
    <m/>
  </r>
  <r>
    <x v="37"/>
    <x v="7"/>
    <m/>
    <m/>
    <m/>
    <m/>
    <m/>
    <m/>
    <m/>
  </r>
  <r>
    <x v="37"/>
    <x v="8"/>
    <m/>
    <m/>
    <m/>
    <m/>
    <m/>
    <m/>
    <m/>
  </r>
  <r>
    <x v="37"/>
    <x v="9"/>
    <m/>
    <m/>
    <m/>
    <m/>
    <m/>
    <m/>
    <m/>
  </r>
  <r>
    <x v="37"/>
    <x v="10"/>
    <m/>
    <m/>
    <m/>
    <m/>
    <m/>
    <m/>
    <m/>
  </r>
  <r>
    <x v="37"/>
    <x v="11"/>
    <m/>
    <m/>
    <m/>
    <m/>
    <m/>
    <m/>
    <m/>
  </r>
  <r>
    <x v="37"/>
    <x v="12"/>
    <m/>
    <m/>
    <m/>
    <m/>
    <m/>
    <m/>
    <m/>
  </r>
  <r>
    <x v="38"/>
    <x v="0"/>
    <n v="3"/>
    <m/>
    <m/>
    <n v="10"/>
    <n v="24"/>
    <n v="78"/>
    <m/>
  </r>
  <r>
    <x v="38"/>
    <x v="1"/>
    <n v="9"/>
    <n v="5"/>
    <m/>
    <n v="35"/>
    <n v="35"/>
    <n v="236"/>
    <m/>
  </r>
  <r>
    <x v="38"/>
    <x v="2"/>
    <n v="8"/>
    <n v="6"/>
    <m/>
    <n v="10"/>
    <n v="10"/>
    <n v="70"/>
    <m/>
  </r>
  <r>
    <x v="38"/>
    <x v="3"/>
    <n v="13"/>
    <m/>
    <m/>
    <n v="20"/>
    <n v="27"/>
    <n v="83"/>
    <m/>
  </r>
  <r>
    <x v="38"/>
    <x v="4"/>
    <n v="7"/>
    <m/>
    <m/>
    <n v="15"/>
    <n v="15"/>
    <n v="82"/>
    <m/>
  </r>
  <r>
    <x v="38"/>
    <x v="5"/>
    <n v="1"/>
    <n v="6"/>
    <m/>
    <n v="10"/>
    <n v="10"/>
    <n v="24"/>
    <m/>
  </r>
  <r>
    <x v="38"/>
    <x v="6"/>
    <n v="5"/>
    <n v="6"/>
    <m/>
    <n v="15"/>
    <n v="15"/>
    <n v="78"/>
    <m/>
  </r>
  <r>
    <x v="38"/>
    <x v="7"/>
    <n v="2"/>
    <m/>
    <m/>
    <n v="16"/>
    <n v="19"/>
    <n v="79"/>
    <m/>
  </r>
  <r>
    <x v="38"/>
    <x v="8"/>
    <n v="11"/>
    <n v="6"/>
    <m/>
    <n v="20"/>
    <n v="24"/>
    <n v="138"/>
    <m/>
  </r>
  <r>
    <x v="38"/>
    <x v="9"/>
    <n v="1"/>
    <m/>
    <m/>
    <n v="10"/>
    <n v="12"/>
    <n v="54"/>
    <m/>
  </r>
  <r>
    <x v="38"/>
    <x v="10"/>
    <n v="2"/>
    <m/>
    <m/>
    <n v="10"/>
    <n v="12"/>
    <n v="84"/>
    <m/>
  </r>
  <r>
    <x v="38"/>
    <x v="11"/>
    <n v="70"/>
    <m/>
    <m/>
    <n v="60"/>
    <n v="112"/>
    <n v="400"/>
    <m/>
  </r>
  <r>
    <x v="38"/>
    <x v="12"/>
    <m/>
    <m/>
    <m/>
    <n v="20"/>
    <n v="10"/>
    <n v="16"/>
    <m/>
  </r>
  <r>
    <x v="39"/>
    <x v="0"/>
    <m/>
    <m/>
    <m/>
    <m/>
    <m/>
    <m/>
    <m/>
  </r>
  <r>
    <x v="39"/>
    <x v="1"/>
    <m/>
    <m/>
    <n v="1"/>
    <m/>
    <m/>
    <m/>
    <m/>
  </r>
  <r>
    <x v="39"/>
    <x v="2"/>
    <m/>
    <m/>
    <n v="1"/>
    <m/>
    <m/>
    <m/>
    <m/>
  </r>
  <r>
    <x v="39"/>
    <x v="3"/>
    <m/>
    <m/>
    <m/>
    <m/>
    <m/>
    <m/>
    <m/>
  </r>
  <r>
    <x v="39"/>
    <x v="4"/>
    <m/>
    <m/>
    <m/>
    <m/>
    <m/>
    <m/>
    <m/>
  </r>
  <r>
    <x v="39"/>
    <x v="5"/>
    <m/>
    <m/>
    <m/>
    <m/>
    <m/>
    <m/>
    <m/>
  </r>
  <r>
    <x v="39"/>
    <x v="6"/>
    <m/>
    <m/>
    <m/>
    <m/>
    <m/>
    <m/>
    <m/>
  </r>
  <r>
    <x v="39"/>
    <x v="7"/>
    <m/>
    <m/>
    <m/>
    <m/>
    <m/>
    <m/>
    <m/>
  </r>
  <r>
    <x v="39"/>
    <x v="8"/>
    <m/>
    <m/>
    <m/>
    <m/>
    <m/>
    <m/>
    <m/>
  </r>
  <r>
    <x v="39"/>
    <x v="9"/>
    <m/>
    <m/>
    <m/>
    <m/>
    <m/>
    <m/>
    <m/>
  </r>
  <r>
    <x v="39"/>
    <x v="10"/>
    <m/>
    <m/>
    <m/>
    <m/>
    <m/>
    <m/>
    <m/>
  </r>
  <r>
    <x v="39"/>
    <x v="11"/>
    <m/>
    <m/>
    <m/>
    <m/>
    <m/>
    <m/>
    <m/>
  </r>
  <r>
    <x v="39"/>
    <x v="12"/>
    <m/>
    <m/>
    <m/>
    <m/>
    <m/>
    <m/>
    <m/>
  </r>
  <r>
    <x v="40"/>
    <x v="0"/>
    <n v="2"/>
    <n v="1"/>
    <n v="97"/>
    <n v="1"/>
    <n v="5"/>
    <n v="3"/>
    <m/>
  </r>
  <r>
    <x v="40"/>
    <x v="1"/>
    <n v="6"/>
    <n v="2"/>
    <n v="166"/>
    <n v="4"/>
    <n v="11"/>
    <n v="15"/>
    <m/>
  </r>
  <r>
    <x v="40"/>
    <x v="2"/>
    <n v="4"/>
    <n v="2"/>
    <n v="61"/>
    <n v="2"/>
    <n v="2"/>
    <n v="4"/>
    <m/>
  </r>
  <r>
    <x v="40"/>
    <x v="3"/>
    <n v="6"/>
    <n v="1"/>
    <n v="146"/>
    <n v="2"/>
    <n v="8"/>
    <n v="5"/>
    <m/>
  </r>
  <r>
    <x v="40"/>
    <x v="4"/>
    <n v="0"/>
    <n v="0"/>
    <n v="90"/>
    <n v="3"/>
    <n v="9"/>
    <n v="12"/>
    <m/>
  </r>
  <r>
    <x v="40"/>
    <x v="5"/>
    <n v="1"/>
    <n v="0"/>
    <n v="68"/>
    <n v="1"/>
    <n v="0"/>
    <n v="2"/>
    <m/>
  </r>
  <r>
    <x v="40"/>
    <x v="6"/>
    <n v="8"/>
    <n v="4"/>
    <n v="116"/>
    <n v="8"/>
    <n v="5"/>
    <n v="17"/>
    <m/>
  </r>
  <r>
    <x v="40"/>
    <x v="7"/>
    <n v="0"/>
    <n v="0"/>
    <n v="39"/>
    <n v="0"/>
    <n v="0"/>
    <n v="1"/>
    <m/>
  </r>
  <r>
    <x v="40"/>
    <x v="8"/>
    <n v="9"/>
    <n v="4"/>
    <n v="157"/>
    <n v="7"/>
    <n v="7"/>
    <n v="12"/>
    <m/>
  </r>
  <r>
    <x v="40"/>
    <x v="9"/>
    <n v="0"/>
    <n v="0"/>
    <n v="52"/>
    <n v="0"/>
    <n v="0"/>
    <n v="1"/>
    <m/>
  </r>
  <r>
    <x v="40"/>
    <x v="10"/>
    <n v="6"/>
    <n v="3"/>
    <n v="137"/>
    <n v="5"/>
    <n v="5"/>
    <n v="14"/>
    <m/>
  </r>
  <r>
    <x v="40"/>
    <x v="11"/>
    <n v="5"/>
    <n v="0"/>
    <n v="776"/>
    <n v="0"/>
    <n v="0"/>
    <n v="1"/>
    <m/>
  </r>
  <r>
    <x v="40"/>
    <x v="12"/>
    <n v="0"/>
    <n v="0"/>
    <n v="25"/>
    <n v="0"/>
    <n v="0"/>
    <n v="0"/>
    <m/>
  </r>
  <r>
    <x v="41"/>
    <x v="0"/>
    <m/>
    <m/>
    <m/>
    <m/>
    <m/>
    <m/>
    <m/>
  </r>
  <r>
    <x v="41"/>
    <x v="1"/>
    <m/>
    <m/>
    <m/>
    <m/>
    <m/>
    <m/>
    <m/>
  </r>
  <r>
    <x v="41"/>
    <x v="2"/>
    <m/>
    <m/>
    <m/>
    <m/>
    <m/>
    <m/>
    <m/>
  </r>
  <r>
    <x v="41"/>
    <x v="3"/>
    <n v="4"/>
    <n v="23"/>
    <n v="2"/>
    <m/>
    <m/>
    <m/>
    <m/>
  </r>
  <r>
    <x v="41"/>
    <x v="4"/>
    <n v="4"/>
    <n v="23"/>
    <n v="2"/>
    <m/>
    <m/>
    <m/>
    <m/>
  </r>
  <r>
    <x v="41"/>
    <x v="5"/>
    <m/>
    <m/>
    <m/>
    <m/>
    <m/>
    <m/>
    <m/>
  </r>
  <r>
    <x v="41"/>
    <x v="6"/>
    <m/>
    <m/>
    <m/>
    <m/>
    <m/>
    <m/>
    <m/>
  </r>
  <r>
    <x v="41"/>
    <x v="7"/>
    <m/>
    <m/>
    <m/>
    <m/>
    <m/>
    <m/>
    <m/>
  </r>
  <r>
    <x v="41"/>
    <x v="8"/>
    <m/>
    <m/>
    <m/>
    <m/>
    <m/>
    <m/>
    <m/>
  </r>
  <r>
    <x v="41"/>
    <x v="9"/>
    <m/>
    <m/>
    <m/>
    <m/>
    <m/>
    <m/>
    <m/>
  </r>
  <r>
    <x v="41"/>
    <x v="10"/>
    <m/>
    <m/>
    <m/>
    <m/>
    <m/>
    <m/>
    <m/>
  </r>
  <r>
    <x v="41"/>
    <x v="11"/>
    <m/>
    <m/>
    <m/>
    <m/>
    <m/>
    <m/>
    <m/>
  </r>
  <r>
    <x v="41"/>
    <x v="12"/>
    <m/>
    <m/>
    <m/>
    <m/>
    <m/>
    <m/>
    <m/>
  </r>
  <r>
    <x v="42"/>
    <x v="0"/>
    <m/>
    <m/>
    <m/>
    <m/>
    <m/>
    <m/>
    <m/>
  </r>
  <r>
    <x v="42"/>
    <x v="1"/>
    <m/>
    <m/>
    <m/>
    <m/>
    <m/>
    <m/>
    <m/>
  </r>
  <r>
    <x v="42"/>
    <x v="2"/>
    <m/>
    <m/>
    <m/>
    <m/>
    <m/>
    <m/>
    <m/>
  </r>
  <r>
    <x v="42"/>
    <x v="3"/>
    <m/>
    <m/>
    <m/>
    <m/>
    <m/>
    <m/>
    <m/>
  </r>
  <r>
    <x v="42"/>
    <x v="4"/>
    <m/>
    <m/>
    <m/>
    <m/>
    <m/>
    <m/>
    <m/>
  </r>
  <r>
    <x v="42"/>
    <x v="5"/>
    <m/>
    <m/>
    <m/>
    <m/>
    <m/>
    <m/>
    <m/>
  </r>
  <r>
    <x v="42"/>
    <x v="6"/>
    <m/>
    <m/>
    <m/>
    <m/>
    <m/>
    <n v="11"/>
    <m/>
  </r>
  <r>
    <x v="42"/>
    <x v="7"/>
    <m/>
    <m/>
    <m/>
    <m/>
    <m/>
    <m/>
    <m/>
  </r>
  <r>
    <x v="42"/>
    <x v="8"/>
    <m/>
    <m/>
    <m/>
    <m/>
    <m/>
    <m/>
    <m/>
  </r>
  <r>
    <x v="42"/>
    <x v="9"/>
    <m/>
    <m/>
    <m/>
    <m/>
    <m/>
    <m/>
    <m/>
  </r>
  <r>
    <x v="42"/>
    <x v="10"/>
    <m/>
    <m/>
    <m/>
    <m/>
    <m/>
    <m/>
    <m/>
  </r>
  <r>
    <x v="42"/>
    <x v="11"/>
    <m/>
    <m/>
    <m/>
    <m/>
    <m/>
    <m/>
    <m/>
  </r>
  <r>
    <x v="42"/>
    <x v="12"/>
    <m/>
    <m/>
    <m/>
    <m/>
    <m/>
    <m/>
    <m/>
  </r>
  <r>
    <x v="43"/>
    <x v="0"/>
    <m/>
    <m/>
    <m/>
    <m/>
    <m/>
    <m/>
    <m/>
  </r>
  <r>
    <x v="43"/>
    <x v="1"/>
    <m/>
    <m/>
    <n v="4"/>
    <n v="5"/>
    <m/>
    <m/>
    <m/>
  </r>
  <r>
    <x v="43"/>
    <x v="2"/>
    <m/>
    <m/>
    <n v="6"/>
    <n v="2"/>
    <m/>
    <n v="2"/>
    <m/>
  </r>
  <r>
    <x v="43"/>
    <x v="3"/>
    <m/>
    <m/>
    <n v="2"/>
    <n v="1"/>
    <m/>
    <m/>
    <m/>
  </r>
  <r>
    <x v="43"/>
    <x v="4"/>
    <m/>
    <m/>
    <n v="10"/>
    <n v="3"/>
    <m/>
    <m/>
    <m/>
  </r>
  <r>
    <x v="43"/>
    <x v="5"/>
    <m/>
    <m/>
    <n v="5"/>
    <m/>
    <m/>
    <m/>
    <m/>
  </r>
  <r>
    <x v="43"/>
    <x v="6"/>
    <m/>
    <m/>
    <n v="9"/>
    <m/>
    <m/>
    <n v="2"/>
    <m/>
  </r>
  <r>
    <x v="43"/>
    <x v="7"/>
    <m/>
    <m/>
    <n v="4"/>
    <n v="2"/>
    <m/>
    <n v="3"/>
    <m/>
  </r>
  <r>
    <x v="43"/>
    <x v="8"/>
    <m/>
    <m/>
    <n v="10"/>
    <n v="4"/>
    <m/>
    <m/>
    <m/>
  </r>
  <r>
    <x v="43"/>
    <x v="9"/>
    <m/>
    <m/>
    <n v="6"/>
    <n v="5"/>
    <m/>
    <n v="2"/>
    <m/>
  </r>
  <r>
    <x v="43"/>
    <x v="10"/>
    <m/>
    <m/>
    <n v="4"/>
    <n v="4"/>
    <m/>
    <n v="1"/>
    <m/>
  </r>
  <r>
    <x v="43"/>
    <x v="11"/>
    <m/>
    <m/>
    <n v="3"/>
    <n v="1"/>
    <m/>
    <n v="3"/>
    <m/>
  </r>
  <r>
    <x v="43"/>
    <x v="12"/>
    <m/>
    <m/>
    <m/>
    <n v="2"/>
    <m/>
    <m/>
    <m/>
  </r>
  <r>
    <x v="44"/>
    <x v="0"/>
    <m/>
    <m/>
    <m/>
    <m/>
    <m/>
    <m/>
    <m/>
  </r>
  <r>
    <x v="44"/>
    <x v="1"/>
    <m/>
    <m/>
    <m/>
    <m/>
    <m/>
    <m/>
    <m/>
  </r>
  <r>
    <x v="44"/>
    <x v="2"/>
    <m/>
    <m/>
    <m/>
    <m/>
    <m/>
    <m/>
    <m/>
  </r>
  <r>
    <x v="44"/>
    <x v="3"/>
    <m/>
    <m/>
    <n v="1"/>
    <m/>
    <m/>
    <m/>
    <m/>
  </r>
  <r>
    <x v="44"/>
    <x v="4"/>
    <m/>
    <m/>
    <m/>
    <m/>
    <m/>
    <m/>
    <m/>
  </r>
  <r>
    <x v="44"/>
    <x v="5"/>
    <m/>
    <m/>
    <m/>
    <m/>
    <m/>
    <m/>
    <m/>
  </r>
  <r>
    <x v="44"/>
    <x v="6"/>
    <m/>
    <m/>
    <m/>
    <m/>
    <m/>
    <m/>
    <m/>
  </r>
  <r>
    <x v="44"/>
    <x v="7"/>
    <m/>
    <m/>
    <m/>
    <m/>
    <m/>
    <m/>
    <m/>
  </r>
  <r>
    <x v="44"/>
    <x v="8"/>
    <m/>
    <m/>
    <m/>
    <m/>
    <m/>
    <m/>
    <m/>
  </r>
  <r>
    <x v="44"/>
    <x v="9"/>
    <m/>
    <m/>
    <n v="1"/>
    <m/>
    <m/>
    <m/>
    <m/>
  </r>
  <r>
    <x v="44"/>
    <x v="10"/>
    <m/>
    <m/>
    <m/>
    <m/>
    <m/>
    <m/>
    <m/>
  </r>
  <r>
    <x v="44"/>
    <x v="11"/>
    <m/>
    <m/>
    <m/>
    <m/>
    <m/>
    <m/>
    <m/>
  </r>
  <r>
    <x v="44"/>
    <x v="12"/>
    <m/>
    <m/>
    <m/>
    <m/>
    <m/>
    <m/>
    <m/>
  </r>
  <r>
    <x v="45"/>
    <x v="0"/>
    <m/>
    <m/>
    <m/>
    <m/>
    <m/>
    <m/>
    <m/>
  </r>
  <r>
    <x v="45"/>
    <x v="1"/>
    <m/>
    <m/>
    <m/>
    <m/>
    <m/>
    <m/>
    <m/>
  </r>
  <r>
    <x v="45"/>
    <x v="2"/>
    <m/>
    <m/>
    <m/>
    <m/>
    <m/>
    <m/>
    <m/>
  </r>
  <r>
    <x v="45"/>
    <x v="3"/>
    <m/>
    <m/>
    <m/>
    <m/>
    <m/>
    <m/>
    <m/>
  </r>
  <r>
    <x v="45"/>
    <x v="4"/>
    <m/>
    <m/>
    <m/>
    <m/>
    <m/>
    <m/>
    <m/>
  </r>
  <r>
    <x v="45"/>
    <x v="5"/>
    <m/>
    <m/>
    <m/>
    <m/>
    <m/>
    <m/>
    <m/>
  </r>
  <r>
    <x v="45"/>
    <x v="6"/>
    <m/>
    <m/>
    <m/>
    <m/>
    <m/>
    <m/>
    <m/>
  </r>
  <r>
    <x v="45"/>
    <x v="7"/>
    <m/>
    <m/>
    <m/>
    <m/>
    <n v="8"/>
    <m/>
    <m/>
  </r>
  <r>
    <x v="45"/>
    <x v="8"/>
    <m/>
    <m/>
    <m/>
    <m/>
    <m/>
    <m/>
    <m/>
  </r>
  <r>
    <x v="45"/>
    <x v="9"/>
    <m/>
    <m/>
    <m/>
    <m/>
    <m/>
    <m/>
    <m/>
  </r>
  <r>
    <x v="45"/>
    <x v="10"/>
    <m/>
    <m/>
    <m/>
    <m/>
    <m/>
    <m/>
    <m/>
  </r>
  <r>
    <x v="45"/>
    <x v="11"/>
    <m/>
    <m/>
    <m/>
    <m/>
    <n v="10"/>
    <m/>
    <m/>
  </r>
  <r>
    <x v="45"/>
    <x v="12"/>
    <m/>
    <m/>
    <m/>
    <n v="20"/>
    <n v="4"/>
    <n v="14"/>
    <m/>
  </r>
  <r>
    <x v="46"/>
    <x v="0"/>
    <m/>
    <m/>
    <m/>
    <m/>
    <m/>
    <m/>
    <m/>
  </r>
  <r>
    <x v="46"/>
    <x v="1"/>
    <m/>
    <m/>
    <m/>
    <m/>
    <m/>
    <m/>
    <m/>
  </r>
  <r>
    <x v="46"/>
    <x v="2"/>
    <m/>
    <m/>
    <m/>
    <m/>
    <m/>
    <m/>
    <m/>
  </r>
  <r>
    <x v="46"/>
    <x v="3"/>
    <m/>
    <m/>
    <m/>
    <m/>
    <m/>
    <m/>
    <m/>
  </r>
  <r>
    <x v="46"/>
    <x v="4"/>
    <m/>
    <m/>
    <m/>
    <m/>
    <m/>
    <m/>
    <m/>
  </r>
  <r>
    <x v="46"/>
    <x v="5"/>
    <m/>
    <m/>
    <m/>
    <m/>
    <m/>
    <m/>
    <m/>
  </r>
  <r>
    <x v="46"/>
    <x v="6"/>
    <m/>
    <m/>
    <m/>
    <m/>
    <m/>
    <m/>
    <m/>
  </r>
  <r>
    <x v="46"/>
    <x v="7"/>
    <m/>
    <m/>
    <m/>
    <m/>
    <m/>
    <m/>
    <m/>
  </r>
  <r>
    <x v="46"/>
    <x v="8"/>
    <m/>
    <m/>
    <m/>
    <m/>
    <m/>
    <m/>
    <m/>
  </r>
  <r>
    <x v="46"/>
    <x v="9"/>
    <m/>
    <m/>
    <m/>
    <m/>
    <m/>
    <m/>
    <m/>
  </r>
  <r>
    <x v="46"/>
    <x v="10"/>
    <m/>
    <m/>
    <m/>
    <m/>
    <m/>
    <m/>
    <m/>
  </r>
  <r>
    <x v="46"/>
    <x v="11"/>
    <m/>
    <m/>
    <m/>
    <m/>
    <m/>
    <m/>
    <m/>
  </r>
  <r>
    <x v="46"/>
    <x v="12"/>
    <m/>
    <m/>
    <m/>
    <m/>
    <m/>
    <m/>
    <m/>
  </r>
  <r>
    <x v="47"/>
    <x v="0"/>
    <m/>
    <m/>
    <m/>
    <n v="10"/>
    <n v="20"/>
    <n v="50"/>
    <m/>
  </r>
  <r>
    <x v="47"/>
    <x v="1"/>
    <m/>
    <m/>
    <m/>
    <n v="30"/>
    <n v="30"/>
    <n v="180"/>
    <m/>
  </r>
  <r>
    <x v="47"/>
    <x v="2"/>
    <m/>
    <m/>
    <m/>
    <n v="10"/>
    <n v="10"/>
    <n v="30"/>
    <m/>
  </r>
  <r>
    <x v="47"/>
    <x v="3"/>
    <m/>
    <m/>
    <m/>
    <n v="20"/>
    <n v="20"/>
    <n v="50"/>
    <m/>
  </r>
  <r>
    <x v="47"/>
    <x v="4"/>
    <m/>
    <m/>
    <m/>
    <n v="15"/>
    <n v="15"/>
    <n v="30"/>
    <m/>
  </r>
  <r>
    <x v="47"/>
    <x v="5"/>
    <m/>
    <m/>
    <m/>
    <n v="10"/>
    <n v="10"/>
    <n v="20"/>
    <m/>
  </r>
  <r>
    <x v="47"/>
    <x v="6"/>
    <m/>
    <m/>
    <m/>
    <n v="15"/>
    <n v="15"/>
    <n v="40"/>
    <m/>
  </r>
  <r>
    <x v="47"/>
    <x v="7"/>
    <m/>
    <m/>
    <m/>
    <n v="10"/>
    <n v="10"/>
    <n v="30"/>
    <m/>
  </r>
  <r>
    <x v="47"/>
    <x v="8"/>
    <m/>
    <m/>
    <m/>
    <n v="20"/>
    <n v="20"/>
    <n v="100"/>
    <m/>
  </r>
  <r>
    <x v="47"/>
    <x v="9"/>
    <m/>
    <m/>
    <m/>
    <n v="10"/>
    <n v="10"/>
    <n v="40"/>
    <m/>
  </r>
  <r>
    <x v="47"/>
    <x v="10"/>
    <m/>
    <m/>
    <m/>
    <n v="10"/>
    <n v="10"/>
    <n v="50"/>
    <m/>
  </r>
  <r>
    <x v="47"/>
    <x v="11"/>
    <m/>
    <m/>
    <m/>
    <n v="60"/>
    <n v="60"/>
    <n v="440"/>
    <m/>
  </r>
  <r>
    <x v="47"/>
    <x v="12"/>
    <m/>
    <m/>
    <m/>
    <m/>
    <m/>
    <m/>
    <m/>
  </r>
  <r>
    <x v="48"/>
    <x v="0"/>
    <m/>
    <m/>
    <m/>
    <m/>
    <m/>
    <n v="3"/>
    <m/>
  </r>
  <r>
    <x v="48"/>
    <x v="1"/>
    <m/>
    <m/>
    <m/>
    <m/>
    <m/>
    <n v="3"/>
    <m/>
  </r>
  <r>
    <x v="48"/>
    <x v="2"/>
    <m/>
    <n v="2"/>
    <n v="2"/>
    <m/>
    <m/>
    <n v="2"/>
    <m/>
  </r>
  <r>
    <x v="48"/>
    <x v="3"/>
    <m/>
    <n v="2"/>
    <n v="2"/>
    <m/>
    <m/>
    <n v="2"/>
    <m/>
  </r>
  <r>
    <x v="48"/>
    <x v="4"/>
    <m/>
    <n v="2"/>
    <n v="2"/>
    <m/>
    <m/>
    <n v="2"/>
    <m/>
  </r>
  <r>
    <x v="48"/>
    <x v="5"/>
    <m/>
    <n v="2"/>
    <n v="2"/>
    <m/>
    <m/>
    <n v="2"/>
    <m/>
  </r>
  <r>
    <x v="48"/>
    <x v="6"/>
    <m/>
    <n v="10"/>
    <m/>
    <m/>
    <m/>
    <n v="10"/>
    <m/>
  </r>
  <r>
    <x v="48"/>
    <x v="7"/>
    <m/>
    <m/>
    <m/>
    <m/>
    <m/>
    <m/>
    <m/>
  </r>
  <r>
    <x v="48"/>
    <x v="8"/>
    <m/>
    <n v="2"/>
    <n v="2"/>
    <m/>
    <m/>
    <n v="2"/>
    <m/>
  </r>
  <r>
    <x v="48"/>
    <x v="9"/>
    <m/>
    <n v="2"/>
    <n v="2"/>
    <m/>
    <m/>
    <n v="2"/>
    <m/>
  </r>
  <r>
    <x v="48"/>
    <x v="10"/>
    <m/>
    <n v="2"/>
    <n v="2"/>
    <m/>
    <m/>
    <n v="2"/>
    <m/>
  </r>
  <r>
    <x v="48"/>
    <x v="11"/>
    <m/>
    <m/>
    <m/>
    <m/>
    <m/>
    <m/>
    <m/>
  </r>
  <r>
    <x v="48"/>
    <x v="12"/>
    <m/>
    <m/>
    <m/>
    <m/>
    <m/>
    <m/>
    <m/>
  </r>
  <r>
    <x v="49"/>
    <x v="0"/>
    <m/>
    <m/>
    <m/>
    <m/>
    <m/>
    <m/>
    <m/>
  </r>
  <r>
    <x v="49"/>
    <x v="1"/>
    <m/>
    <m/>
    <m/>
    <m/>
    <m/>
    <m/>
    <m/>
  </r>
  <r>
    <x v="49"/>
    <x v="2"/>
    <m/>
    <m/>
    <m/>
    <m/>
    <m/>
    <m/>
    <m/>
  </r>
  <r>
    <x v="49"/>
    <x v="3"/>
    <m/>
    <m/>
    <m/>
    <m/>
    <m/>
    <m/>
    <m/>
  </r>
  <r>
    <x v="49"/>
    <x v="4"/>
    <m/>
    <m/>
    <m/>
    <m/>
    <m/>
    <m/>
    <m/>
  </r>
  <r>
    <x v="49"/>
    <x v="5"/>
    <m/>
    <m/>
    <m/>
    <m/>
    <m/>
    <m/>
    <m/>
  </r>
  <r>
    <x v="49"/>
    <x v="6"/>
    <n v="1"/>
    <n v="1"/>
    <n v="6"/>
    <m/>
    <n v="2"/>
    <n v="3"/>
    <m/>
  </r>
  <r>
    <x v="49"/>
    <x v="7"/>
    <m/>
    <m/>
    <m/>
    <m/>
    <m/>
    <m/>
    <m/>
  </r>
  <r>
    <x v="49"/>
    <x v="8"/>
    <m/>
    <m/>
    <m/>
    <m/>
    <m/>
    <m/>
    <m/>
  </r>
  <r>
    <x v="49"/>
    <x v="9"/>
    <m/>
    <m/>
    <m/>
    <m/>
    <m/>
    <m/>
    <m/>
  </r>
  <r>
    <x v="49"/>
    <x v="10"/>
    <m/>
    <m/>
    <m/>
    <m/>
    <m/>
    <m/>
    <m/>
  </r>
  <r>
    <x v="49"/>
    <x v="11"/>
    <m/>
    <m/>
    <m/>
    <m/>
    <m/>
    <m/>
    <m/>
  </r>
  <r>
    <x v="49"/>
    <x v="12"/>
    <m/>
    <m/>
    <m/>
    <m/>
    <m/>
    <m/>
    <m/>
  </r>
  <r>
    <x v="50"/>
    <x v="0"/>
    <m/>
    <n v="0"/>
    <n v="4"/>
    <m/>
    <m/>
    <n v="10"/>
    <m/>
  </r>
  <r>
    <x v="50"/>
    <x v="1"/>
    <m/>
    <n v="6"/>
    <n v="28"/>
    <n v="10"/>
    <n v="8"/>
    <n v="32"/>
    <m/>
  </r>
  <r>
    <x v="50"/>
    <x v="2"/>
    <m/>
    <n v="15"/>
    <n v="40"/>
    <n v="7"/>
    <n v="8"/>
    <n v="20"/>
    <m/>
  </r>
  <r>
    <x v="50"/>
    <x v="3"/>
    <m/>
    <n v="12"/>
    <n v="30"/>
    <n v="3"/>
    <n v="8"/>
    <n v="10"/>
    <m/>
  </r>
  <r>
    <x v="50"/>
    <x v="4"/>
    <m/>
    <n v="10"/>
    <n v="36"/>
    <n v="0"/>
    <n v="8"/>
    <n v="24"/>
    <m/>
  </r>
  <r>
    <x v="50"/>
    <x v="5"/>
    <m/>
    <n v="10"/>
    <n v="36"/>
    <n v="3"/>
    <n v="8"/>
    <n v="20"/>
    <m/>
  </r>
  <r>
    <x v="50"/>
    <x v="6"/>
    <m/>
    <n v="16"/>
    <n v="40"/>
    <n v="3"/>
    <n v="8"/>
    <n v="25"/>
    <m/>
  </r>
  <r>
    <x v="50"/>
    <x v="7"/>
    <m/>
    <n v="10"/>
    <n v="37"/>
    <n v="3"/>
    <n v="8"/>
    <n v="25"/>
    <m/>
  </r>
  <r>
    <x v="50"/>
    <x v="8"/>
    <m/>
    <n v="11"/>
    <n v="38"/>
    <n v="3"/>
    <n v="8"/>
    <n v="30"/>
    <m/>
  </r>
  <r>
    <x v="50"/>
    <x v="9"/>
    <m/>
    <n v="5"/>
    <n v="36"/>
    <n v="3"/>
    <n v="8"/>
    <n v="30"/>
    <m/>
  </r>
  <r>
    <x v="50"/>
    <x v="10"/>
    <m/>
    <n v="5"/>
    <n v="38"/>
    <n v="3"/>
    <n v="8"/>
    <n v="29"/>
    <m/>
  </r>
  <r>
    <x v="50"/>
    <x v="11"/>
    <m/>
    <m/>
    <m/>
    <m/>
    <m/>
    <m/>
    <m/>
  </r>
  <r>
    <x v="50"/>
    <x v="12"/>
    <m/>
    <m/>
    <m/>
    <m/>
    <m/>
    <m/>
    <m/>
  </r>
  <r>
    <x v="51"/>
    <x v="0"/>
    <n v="3"/>
    <n v="0"/>
    <n v="0"/>
    <n v="0"/>
    <n v="4"/>
    <n v="28"/>
    <m/>
  </r>
  <r>
    <x v="51"/>
    <x v="1"/>
    <n v="9"/>
    <n v="5"/>
    <n v="5"/>
    <n v="5"/>
    <n v="5"/>
    <n v="56"/>
    <m/>
  </r>
  <r>
    <x v="51"/>
    <x v="2"/>
    <n v="8"/>
    <n v="6"/>
    <n v="6"/>
    <n v="0"/>
    <n v="0"/>
    <n v="40"/>
    <m/>
  </r>
  <r>
    <x v="51"/>
    <x v="3"/>
    <n v="13"/>
    <n v="0"/>
    <n v="3"/>
    <n v="0"/>
    <n v="7"/>
    <n v="33"/>
    <m/>
  </r>
  <r>
    <x v="51"/>
    <x v="4"/>
    <n v="7"/>
    <n v="0"/>
    <n v="4"/>
    <n v="0"/>
    <n v="0"/>
    <n v="52"/>
    <m/>
  </r>
  <r>
    <x v="51"/>
    <x v="5"/>
    <n v="1"/>
    <n v="6"/>
    <n v="6"/>
    <n v="0"/>
    <n v="0"/>
    <n v="14"/>
    <m/>
  </r>
  <r>
    <x v="51"/>
    <x v="6"/>
    <n v="5"/>
    <n v="6"/>
    <n v="3"/>
    <n v="0"/>
    <n v="0"/>
    <n v="25"/>
    <m/>
  </r>
  <r>
    <x v="51"/>
    <x v="7"/>
    <n v="2"/>
    <n v="0"/>
    <n v="0"/>
    <n v="0"/>
    <n v="0"/>
    <n v="46"/>
    <m/>
  </r>
  <r>
    <x v="51"/>
    <x v="8"/>
    <n v="11"/>
    <n v="6"/>
    <n v="2"/>
    <n v="0"/>
    <n v="4"/>
    <n v="37"/>
    <m/>
  </r>
  <r>
    <x v="51"/>
    <x v="9"/>
    <n v="1"/>
    <n v="0"/>
    <n v="3"/>
    <n v="0"/>
    <n v="2"/>
    <n v="13"/>
    <m/>
  </r>
  <r>
    <x v="51"/>
    <x v="10"/>
    <n v="2"/>
    <n v="0"/>
    <n v="0"/>
    <n v="0"/>
    <n v="2"/>
    <n v="32"/>
    <m/>
  </r>
  <r>
    <x v="51"/>
    <x v="11"/>
    <n v="70"/>
    <n v="0"/>
    <n v="0"/>
    <n v="0"/>
    <n v="50"/>
    <n v="89"/>
    <m/>
  </r>
  <r>
    <x v="51"/>
    <x v="12"/>
    <n v="0"/>
    <n v="0"/>
    <n v="0"/>
    <n v="0"/>
    <n v="0"/>
    <n v="0"/>
    <m/>
  </r>
  <r>
    <x v="52"/>
    <x v="0"/>
    <m/>
    <m/>
    <m/>
    <m/>
    <m/>
    <m/>
    <m/>
  </r>
  <r>
    <x v="52"/>
    <x v="1"/>
    <m/>
    <m/>
    <m/>
    <m/>
    <m/>
    <m/>
    <m/>
  </r>
  <r>
    <x v="52"/>
    <x v="2"/>
    <m/>
    <m/>
    <m/>
    <m/>
    <m/>
    <m/>
    <m/>
  </r>
  <r>
    <x v="52"/>
    <x v="3"/>
    <m/>
    <m/>
    <m/>
    <m/>
    <m/>
    <m/>
    <m/>
  </r>
  <r>
    <x v="52"/>
    <x v="4"/>
    <m/>
    <m/>
    <m/>
    <m/>
    <m/>
    <m/>
    <m/>
  </r>
  <r>
    <x v="52"/>
    <x v="5"/>
    <m/>
    <m/>
    <m/>
    <m/>
    <m/>
    <m/>
    <m/>
  </r>
  <r>
    <x v="52"/>
    <x v="6"/>
    <m/>
    <m/>
    <m/>
    <m/>
    <m/>
    <n v="3"/>
    <m/>
  </r>
  <r>
    <x v="52"/>
    <x v="7"/>
    <m/>
    <m/>
    <n v="3"/>
    <m/>
    <m/>
    <m/>
    <m/>
  </r>
  <r>
    <x v="52"/>
    <x v="8"/>
    <m/>
    <m/>
    <n v="3"/>
    <m/>
    <m/>
    <n v="1"/>
    <m/>
  </r>
  <r>
    <x v="52"/>
    <x v="9"/>
    <m/>
    <m/>
    <n v="4"/>
    <m/>
    <m/>
    <m/>
    <m/>
  </r>
  <r>
    <x v="52"/>
    <x v="10"/>
    <m/>
    <m/>
    <n v="1"/>
    <m/>
    <m/>
    <n v="2"/>
    <m/>
  </r>
  <r>
    <x v="52"/>
    <x v="11"/>
    <m/>
    <m/>
    <n v="2"/>
    <m/>
    <m/>
    <n v="1"/>
    <m/>
  </r>
  <r>
    <x v="52"/>
    <x v="12"/>
    <m/>
    <m/>
    <n v="1"/>
    <m/>
    <m/>
    <m/>
    <m/>
  </r>
  <r>
    <x v="53"/>
    <x v="0"/>
    <m/>
    <m/>
    <m/>
    <m/>
    <m/>
    <m/>
    <m/>
  </r>
  <r>
    <x v="53"/>
    <x v="1"/>
    <m/>
    <n v="4"/>
    <n v="14"/>
    <m/>
    <m/>
    <n v="3"/>
    <m/>
  </r>
  <r>
    <x v="53"/>
    <x v="2"/>
    <n v="8"/>
    <n v="7"/>
    <n v="22"/>
    <n v="5"/>
    <n v="5"/>
    <n v="20"/>
    <m/>
  </r>
  <r>
    <x v="53"/>
    <x v="3"/>
    <m/>
    <n v="2"/>
    <n v="8"/>
    <m/>
    <n v="19"/>
    <n v="12"/>
    <m/>
  </r>
  <r>
    <x v="53"/>
    <x v="4"/>
    <m/>
    <n v="2"/>
    <n v="25"/>
    <n v="5"/>
    <n v="12"/>
    <n v="17"/>
    <m/>
  </r>
  <r>
    <x v="53"/>
    <x v="5"/>
    <n v="2"/>
    <n v="7"/>
    <n v="8"/>
    <n v="2"/>
    <n v="2"/>
    <n v="5"/>
    <m/>
  </r>
  <r>
    <x v="53"/>
    <x v="6"/>
    <n v="8"/>
    <n v="7"/>
    <n v="55"/>
    <n v="5"/>
    <n v="13"/>
    <n v="32"/>
    <m/>
  </r>
  <r>
    <x v="53"/>
    <x v="7"/>
    <n v="2"/>
    <n v="6"/>
    <n v="5"/>
    <n v="2"/>
    <n v="2"/>
    <n v="4"/>
    <m/>
  </r>
  <r>
    <x v="53"/>
    <x v="8"/>
    <n v="8"/>
    <n v="7"/>
    <n v="52"/>
    <n v="5"/>
    <n v="13"/>
    <n v="21"/>
    <m/>
  </r>
  <r>
    <x v="53"/>
    <x v="9"/>
    <n v="2"/>
    <n v="7"/>
    <n v="6"/>
    <n v="2"/>
    <n v="2"/>
    <n v="2"/>
    <m/>
  </r>
  <r>
    <x v="53"/>
    <x v="10"/>
    <m/>
    <n v="4"/>
    <n v="4"/>
    <m/>
    <m/>
    <m/>
    <m/>
  </r>
  <r>
    <x v="53"/>
    <x v="11"/>
    <m/>
    <m/>
    <m/>
    <m/>
    <m/>
    <m/>
    <m/>
  </r>
  <r>
    <x v="53"/>
    <x v="12"/>
    <m/>
    <m/>
    <m/>
    <m/>
    <m/>
    <m/>
    <m/>
  </r>
  <r>
    <x v="54"/>
    <x v="0"/>
    <m/>
    <m/>
    <m/>
    <m/>
    <m/>
    <m/>
    <m/>
  </r>
  <r>
    <x v="54"/>
    <x v="1"/>
    <m/>
    <m/>
    <m/>
    <m/>
    <m/>
    <m/>
    <m/>
  </r>
  <r>
    <x v="54"/>
    <x v="2"/>
    <m/>
    <m/>
    <m/>
    <m/>
    <m/>
    <m/>
    <m/>
  </r>
  <r>
    <x v="54"/>
    <x v="3"/>
    <m/>
    <m/>
    <m/>
    <m/>
    <m/>
    <m/>
    <m/>
  </r>
  <r>
    <x v="54"/>
    <x v="4"/>
    <m/>
    <m/>
    <m/>
    <m/>
    <m/>
    <m/>
    <m/>
  </r>
  <r>
    <x v="54"/>
    <x v="5"/>
    <m/>
    <m/>
    <m/>
    <m/>
    <m/>
    <n v="1"/>
    <m/>
  </r>
  <r>
    <x v="54"/>
    <x v="6"/>
    <m/>
    <m/>
    <m/>
    <m/>
    <m/>
    <m/>
    <m/>
  </r>
  <r>
    <x v="54"/>
    <x v="7"/>
    <m/>
    <m/>
    <m/>
    <m/>
    <m/>
    <n v="2"/>
    <m/>
  </r>
  <r>
    <x v="54"/>
    <x v="8"/>
    <m/>
    <m/>
    <m/>
    <m/>
    <m/>
    <n v="1"/>
    <m/>
  </r>
  <r>
    <x v="54"/>
    <x v="9"/>
    <m/>
    <m/>
    <m/>
    <m/>
    <m/>
    <m/>
    <m/>
  </r>
  <r>
    <x v="54"/>
    <x v="10"/>
    <m/>
    <m/>
    <m/>
    <m/>
    <m/>
    <n v="7"/>
    <m/>
  </r>
  <r>
    <x v="54"/>
    <x v="11"/>
    <m/>
    <m/>
    <m/>
    <m/>
    <m/>
    <m/>
    <m/>
  </r>
  <r>
    <x v="54"/>
    <x v="12"/>
    <m/>
    <m/>
    <m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6">
  <r>
    <x v="0"/>
    <x v="0"/>
    <m/>
    <m/>
    <m/>
    <m/>
    <m/>
    <m/>
    <m/>
    <m/>
    <m/>
    <n v="0"/>
  </r>
  <r>
    <x v="0"/>
    <x v="1"/>
    <m/>
    <m/>
    <m/>
    <m/>
    <m/>
    <m/>
    <m/>
    <m/>
    <m/>
    <n v="0"/>
  </r>
  <r>
    <x v="0"/>
    <x v="2"/>
    <m/>
    <m/>
    <m/>
    <m/>
    <m/>
    <m/>
    <m/>
    <m/>
    <m/>
    <n v="0"/>
  </r>
  <r>
    <x v="0"/>
    <x v="3"/>
    <m/>
    <m/>
    <m/>
    <m/>
    <m/>
    <m/>
    <m/>
    <m/>
    <m/>
    <n v="0"/>
  </r>
  <r>
    <x v="0"/>
    <x v="4"/>
    <m/>
    <m/>
    <m/>
    <m/>
    <m/>
    <m/>
    <m/>
    <m/>
    <m/>
    <n v="0"/>
  </r>
  <r>
    <x v="0"/>
    <x v="5"/>
    <m/>
    <m/>
    <m/>
    <m/>
    <m/>
    <m/>
    <m/>
    <m/>
    <m/>
    <n v="0"/>
  </r>
  <r>
    <x v="0"/>
    <x v="6"/>
    <m/>
    <m/>
    <m/>
    <m/>
    <m/>
    <m/>
    <m/>
    <m/>
    <m/>
    <n v="0"/>
  </r>
  <r>
    <x v="0"/>
    <x v="7"/>
    <m/>
    <m/>
    <m/>
    <m/>
    <m/>
    <m/>
    <m/>
    <m/>
    <m/>
    <n v="0"/>
  </r>
  <r>
    <x v="0"/>
    <x v="8"/>
    <m/>
    <m/>
    <m/>
    <m/>
    <m/>
    <m/>
    <m/>
    <m/>
    <m/>
    <n v="0"/>
  </r>
  <r>
    <x v="0"/>
    <x v="9"/>
    <m/>
    <m/>
    <m/>
    <m/>
    <m/>
    <m/>
    <m/>
    <m/>
    <m/>
    <n v="0"/>
  </r>
  <r>
    <x v="0"/>
    <x v="10"/>
    <m/>
    <m/>
    <m/>
    <m/>
    <m/>
    <m/>
    <m/>
    <m/>
    <m/>
    <n v="0"/>
  </r>
  <r>
    <x v="0"/>
    <x v="11"/>
    <m/>
    <m/>
    <m/>
    <m/>
    <m/>
    <m/>
    <m/>
    <m/>
    <m/>
    <n v="0"/>
  </r>
  <r>
    <x v="0"/>
    <x v="12"/>
    <m/>
    <m/>
    <m/>
    <m/>
    <m/>
    <m/>
    <m/>
    <m/>
    <m/>
    <n v="0"/>
  </r>
  <r>
    <x v="0"/>
    <x v="13"/>
    <m/>
    <m/>
    <m/>
    <m/>
    <m/>
    <m/>
    <m/>
    <m/>
    <m/>
    <n v="0"/>
  </r>
  <r>
    <x v="0"/>
    <x v="14"/>
    <m/>
    <m/>
    <m/>
    <m/>
    <m/>
    <m/>
    <m/>
    <m/>
    <m/>
    <n v="0"/>
  </r>
  <r>
    <x v="0"/>
    <x v="15"/>
    <m/>
    <m/>
    <m/>
    <m/>
    <m/>
    <m/>
    <m/>
    <m/>
    <m/>
    <n v="0"/>
  </r>
  <r>
    <x v="0"/>
    <x v="16"/>
    <m/>
    <m/>
    <m/>
    <m/>
    <m/>
    <m/>
    <m/>
    <m/>
    <m/>
    <n v="0"/>
  </r>
  <r>
    <x v="0"/>
    <x v="17"/>
    <m/>
    <m/>
    <m/>
    <m/>
    <m/>
    <m/>
    <m/>
    <m/>
    <m/>
    <n v="0"/>
  </r>
  <r>
    <x v="0"/>
    <x v="18"/>
    <m/>
    <m/>
    <m/>
    <m/>
    <m/>
    <m/>
    <m/>
    <m/>
    <m/>
    <n v="0"/>
  </r>
  <r>
    <x v="0"/>
    <x v="19"/>
    <m/>
    <m/>
    <m/>
    <m/>
    <m/>
    <m/>
    <m/>
    <m/>
    <m/>
    <n v="0"/>
  </r>
  <r>
    <x v="0"/>
    <x v="20"/>
    <m/>
    <m/>
    <n v="14"/>
    <n v="14"/>
    <m/>
    <m/>
    <m/>
    <n v="2"/>
    <m/>
    <n v="30"/>
  </r>
  <r>
    <x v="0"/>
    <x v="21"/>
    <m/>
    <m/>
    <m/>
    <m/>
    <m/>
    <m/>
    <m/>
    <m/>
    <m/>
    <n v="0"/>
  </r>
  <r>
    <x v="0"/>
    <x v="22"/>
    <m/>
    <m/>
    <m/>
    <m/>
    <m/>
    <m/>
    <m/>
    <m/>
    <m/>
    <n v="0"/>
  </r>
  <r>
    <x v="0"/>
    <x v="23"/>
    <m/>
    <m/>
    <m/>
    <m/>
    <m/>
    <m/>
    <m/>
    <m/>
    <m/>
    <n v="0"/>
  </r>
  <r>
    <x v="0"/>
    <x v="24"/>
    <m/>
    <m/>
    <m/>
    <m/>
    <m/>
    <m/>
    <m/>
    <m/>
    <m/>
    <n v="0"/>
  </r>
  <r>
    <x v="0"/>
    <x v="25"/>
    <m/>
    <m/>
    <m/>
    <m/>
    <m/>
    <m/>
    <m/>
    <m/>
    <m/>
    <n v="0"/>
  </r>
  <r>
    <x v="0"/>
    <x v="26"/>
    <m/>
    <m/>
    <n v="4"/>
    <n v="4"/>
    <n v="2"/>
    <n v="2"/>
    <n v="2"/>
    <n v="4"/>
    <m/>
    <n v="18"/>
  </r>
  <r>
    <x v="0"/>
    <x v="27"/>
    <m/>
    <m/>
    <m/>
    <m/>
    <m/>
    <m/>
    <m/>
    <m/>
    <m/>
    <n v="0"/>
  </r>
  <r>
    <x v="0"/>
    <x v="28"/>
    <m/>
    <m/>
    <m/>
    <m/>
    <m/>
    <m/>
    <m/>
    <m/>
    <m/>
    <n v="0"/>
  </r>
  <r>
    <x v="0"/>
    <x v="29"/>
    <m/>
    <m/>
    <m/>
    <m/>
    <m/>
    <m/>
    <m/>
    <m/>
    <m/>
    <n v="0"/>
  </r>
  <r>
    <x v="0"/>
    <x v="30"/>
    <m/>
    <m/>
    <m/>
    <m/>
    <m/>
    <m/>
    <m/>
    <m/>
    <m/>
    <n v="0"/>
  </r>
  <r>
    <x v="0"/>
    <x v="31"/>
    <n v="9"/>
    <n v="16"/>
    <n v="25"/>
    <n v="11"/>
    <n v="17"/>
    <n v="5"/>
    <n v="13"/>
    <n v="18"/>
    <n v="9"/>
    <n v="123"/>
  </r>
  <r>
    <x v="0"/>
    <x v="32"/>
    <m/>
    <m/>
    <m/>
    <m/>
    <m/>
    <m/>
    <m/>
    <m/>
    <m/>
    <n v="0"/>
  </r>
  <r>
    <x v="0"/>
    <x v="33"/>
    <m/>
    <m/>
    <m/>
    <m/>
    <m/>
    <m/>
    <m/>
    <m/>
    <m/>
    <n v="0"/>
  </r>
  <r>
    <x v="0"/>
    <x v="34"/>
    <m/>
    <m/>
    <m/>
    <m/>
    <m/>
    <m/>
    <m/>
    <m/>
    <m/>
    <n v="0"/>
  </r>
  <r>
    <x v="0"/>
    <x v="35"/>
    <m/>
    <m/>
    <m/>
    <m/>
    <m/>
    <m/>
    <m/>
    <m/>
    <m/>
    <n v="0"/>
  </r>
  <r>
    <x v="0"/>
    <x v="36"/>
    <m/>
    <m/>
    <m/>
    <m/>
    <m/>
    <m/>
    <m/>
    <m/>
    <m/>
    <n v="0"/>
  </r>
  <r>
    <x v="0"/>
    <x v="37"/>
    <m/>
    <m/>
    <m/>
    <m/>
    <m/>
    <m/>
    <m/>
    <m/>
    <m/>
    <n v="0"/>
  </r>
  <r>
    <x v="0"/>
    <x v="38"/>
    <m/>
    <m/>
    <n v="1"/>
    <n v="1"/>
    <m/>
    <m/>
    <m/>
    <m/>
    <m/>
    <n v="2"/>
  </r>
  <r>
    <x v="0"/>
    <x v="39"/>
    <m/>
    <m/>
    <m/>
    <m/>
    <m/>
    <m/>
    <m/>
    <m/>
    <m/>
    <n v="0"/>
  </r>
  <r>
    <x v="0"/>
    <x v="40"/>
    <m/>
    <m/>
    <m/>
    <m/>
    <m/>
    <m/>
    <m/>
    <m/>
    <m/>
    <n v="0"/>
  </r>
  <r>
    <x v="0"/>
    <x v="41"/>
    <m/>
    <m/>
    <m/>
    <m/>
    <m/>
    <m/>
    <m/>
    <m/>
    <m/>
    <n v="0"/>
  </r>
  <r>
    <x v="0"/>
    <x v="42"/>
    <m/>
    <m/>
    <m/>
    <m/>
    <m/>
    <m/>
    <m/>
    <m/>
    <m/>
    <n v="0"/>
  </r>
  <r>
    <x v="0"/>
    <x v="43"/>
    <m/>
    <m/>
    <m/>
    <m/>
    <m/>
    <m/>
    <m/>
    <m/>
    <m/>
    <n v="0"/>
  </r>
  <r>
    <x v="0"/>
    <x v="44"/>
    <m/>
    <m/>
    <m/>
    <m/>
    <m/>
    <m/>
    <m/>
    <m/>
    <m/>
    <n v="0"/>
  </r>
  <r>
    <x v="0"/>
    <x v="45"/>
    <m/>
    <m/>
    <m/>
    <m/>
    <m/>
    <m/>
    <m/>
    <m/>
    <m/>
    <n v="0"/>
  </r>
  <r>
    <x v="0"/>
    <x v="46"/>
    <m/>
    <m/>
    <m/>
    <m/>
    <m/>
    <m/>
    <m/>
    <m/>
    <m/>
    <n v="0"/>
  </r>
  <r>
    <x v="0"/>
    <x v="47"/>
    <m/>
    <m/>
    <m/>
    <m/>
    <m/>
    <m/>
    <m/>
    <m/>
    <m/>
    <n v="0"/>
  </r>
  <r>
    <x v="0"/>
    <x v="48"/>
    <m/>
    <m/>
    <m/>
    <m/>
    <m/>
    <m/>
    <m/>
    <m/>
    <m/>
    <n v="0"/>
  </r>
  <r>
    <x v="0"/>
    <x v="49"/>
    <m/>
    <m/>
    <m/>
    <m/>
    <m/>
    <m/>
    <m/>
    <m/>
    <m/>
    <n v="0"/>
  </r>
  <r>
    <x v="0"/>
    <x v="50"/>
    <m/>
    <m/>
    <m/>
    <m/>
    <m/>
    <m/>
    <m/>
    <m/>
    <m/>
    <n v="0"/>
  </r>
  <r>
    <x v="0"/>
    <x v="51"/>
    <m/>
    <m/>
    <m/>
    <m/>
    <m/>
    <m/>
    <m/>
    <m/>
    <m/>
    <n v="0"/>
  </r>
  <r>
    <x v="1"/>
    <x v="0"/>
    <m/>
    <m/>
    <m/>
    <m/>
    <m/>
    <m/>
    <m/>
    <m/>
    <m/>
    <n v="0"/>
  </r>
  <r>
    <x v="1"/>
    <x v="1"/>
    <n v="8"/>
    <n v="10"/>
    <n v="10"/>
    <m/>
    <m/>
    <m/>
    <m/>
    <n v="10"/>
    <n v="2"/>
    <n v="40"/>
  </r>
  <r>
    <x v="1"/>
    <x v="2"/>
    <n v="6"/>
    <n v="10"/>
    <n v="10"/>
    <m/>
    <m/>
    <m/>
    <m/>
    <n v="10"/>
    <n v="2"/>
    <n v="38"/>
  </r>
  <r>
    <x v="1"/>
    <x v="3"/>
    <m/>
    <m/>
    <m/>
    <m/>
    <m/>
    <m/>
    <m/>
    <m/>
    <m/>
    <n v="0"/>
  </r>
  <r>
    <x v="1"/>
    <x v="4"/>
    <n v="20"/>
    <n v="20"/>
    <n v="20"/>
    <m/>
    <m/>
    <m/>
    <m/>
    <n v="20"/>
    <n v="4"/>
    <n v="84"/>
  </r>
  <r>
    <x v="1"/>
    <x v="5"/>
    <m/>
    <m/>
    <m/>
    <m/>
    <m/>
    <m/>
    <m/>
    <m/>
    <m/>
    <n v="0"/>
  </r>
  <r>
    <x v="1"/>
    <x v="6"/>
    <m/>
    <m/>
    <m/>
    <m/>
    <m/>
    <m/>
    <m/>
    <m/>
    <m/>
    <n v="0"/>
  </r>
  <r>
    <x v="1"/>
    <x v="7"/>
    <m/>
    <m/>
    <m/>
    <m/>
    <m/>
    <m/>
    <m/>
    <m/>
    <m/>
    <n v="0"/>
  </r>
  <r>
    <x v="1"/>
    <x v="8"/>
    <n v="8"/>
    <n v="10"/>
    <n v="10"/>
    <m/>
    <m/>
    <m/>
    <m/>
    <n v="10"/>
    <n v="2"/>
    <n v="40"/>
  </r>
  <r>
    <x v="1"/>
    <x v="9"/>
    <n v="4"/>
    <n v="2"/>
    <n v="4"/>
    <m/>
    <m/>
    <m/>
    <m/>
    <n v="4"/>
    <n v="2"/>
    <n v="16"/>
  </r>
  <r>
    <x v="1"/>
    <x v="10"/>
    <m/>
    <m/>
    <m/>
    <m/>
    <m/>
    <m/>
    <m/>
    <m/>
    <m/>
    <n v="0"/>
  </r>
  <r>
    <x v="1"/>
    <x v="11"/>
    <n v="2"/>
    <m/>
    <n v="1"/>
    <m/>
    <m/>
    <m/>
    <m/>
    <n v="1"/>
    <m/>
    <n v="4"/>
  </r>
  <r>
    <x v="1"/>
    <x v="12"/>
    <n v="6"/>
    <n v="8"/>
    <n v="6"/>
    <m/>
    <m/>
    <m/>
    <m/>
    <n v="6"/>
    <n v="4"/>
    <n v="30"/>
  </r>
  <r>
    <x v="1"/>
    <x v="13"/>
    <m/>
    <m/>
    <m/>
    <m/>
    <m/>
    <m/>
    <m/>
    <m/>
    <m/>
    <n v="0"/>
  </r>
  <r>
    <x v="1"/>
    <x v="14"/>
    <m/>
    <m/>
    <m/>
    <m/>
    <m/>
    <m/>
    <m/>
    <m/>
    <m/>
    <n v="0"/>
  </r>
  <r>
    <x v="1"/>
    <x v="15"/>
    <n v="12"/>
    <n v="14"/>
    <n v="10"/>
    <m/>
    <m/>
    <m/>
    <m/>
    <n v="10"/>
    <n v="6"/>
    <n v="52"/>
  </r>
  <r>
    <x v="1"/>
    <x v="16"/>
    <m/>
    <m/>
    <m/>
    <m/>
    <m/>
    <m/>
    <m/>
    <m/>
    <m/>
    <n v="0"/>
  </r>
  <r>
    <x v="1"/>
    <x v="17"/>
    <m/>
    <m/>
    <m/>
    <m/>
    <m/>
    <m/>
    <m/>
    <m/>
    <m/>
    <n v="0"/>
  </r>
  <r>
    <x v="1"/>
    <x v="18"/>
    <m/>
    <m/>
    <m/>
    <m/>
    <m/>
    <m/>
    <m/>
    <m/>
    <m/>
    <n v="0"/>
  </r>
  <r>
    <x v="1"/>
    <x v="19"/>
    <m/>
    <m/>
    <m/>
    <m/>
    <m/>
    <m/>
    <m/>
    <m/>
    <m/>
    <n v="0"/>
  </r>
  <r>
    <x v="1"/>
    <x v="20"/>
    <m/>
    <m/>
    <m/>
    <m/>
    <m/>
    <m/>
    <m/>
    <m/>
    <m/>
    <n v="0"/>
  </r>
  <r>
    <x v="1"/>
    <x v="21"/>
    <m/>
    <m/>
    <m/>
    <m/>
    <m/>
    <m/>
    <m/>
    <m/>
    <m/>
    <n v="0"/>
  </r>
  <r>
    <x v="1"/>
    <x v="22"/>
    <m/>
    <m/>
    <m/>
    <m/>
    <m/>
    <m/>
    <m/>
    <m/>
    <m/>
    <n v="0"/>
  </r>
  <r>
    <x v="1"/>
    <x v="23"/>
    <m/>
    <m/>
    <m/>
    <m/>
    <m/>
    <m/>
    <m/>
    <m/>
    <m/>
    <n v="0"/>
  </r>
  <r>
    <x v="1"/>
    <x v="24"/>
    <m/>
    <m/>
    <m/>
    <m/>
    <m/>
    <m/>
    <m/>
    <m/>
    <m/>
    <n v="0"/>
  </r>
  <r>
    <x v="1"/>
    <x v="25"/>
    <n v="8"/>
    <n v="10"/>
    <n v="10"/>
    <m/>
    <m/>
    <m/>
    <m/>
    <n v="10"/>
    <n v="6"/>
    <n v="44"/>
  </r>
  <r>
    <x v="1"/>
    <x v="26"/>
    <m/>
    <m/>
    <m/>
    <m/>
    <m/>
    <m/>
    <m/>
    <m/>
    <m/>
    <n v="0"/>
  </r>
  <r>
    <x v="1"/>
    <x v="27"/>
    <m/>
    <m/>
    <m/>
    <m/>
    <m/>
    <m/>
    <m/>
    <m/>
    <m/>
    <n v="0"/>
  </r>
  <r>
    <x v="1"/>
    <x v="28"/>
    <m/>
    <m/>
    <m/>
    <m/>
    <m/>
    <m/>
    <m/>
    <m/>
    <m/>
    <n v="0"/>
  </r>
  <r>
    <x v="1"/>
    <x v="29"/>
    <m/>
    <m/>
    <m/>
    <m/>
    <m/>
    <m/>
    <m/>
    <m/>
    <m/>
    <n v="0"/>
  </r>
  <r>
    <x v="1"/>
    <x v="30"/>
    <m/>
    <m/>
    <m/>
    <m/>
    <m/>
    <m/>
    <m/>
    <m/>
    <m/>
    <n v="0"/>
  </r>
  <r>
    <x v="1"/>
    <x v="31"/>
    <m/>
    <m/>
    <m/>
    <m/>
    <m/>
    <m/>
    <m/>
    <m/>
    <m/>
    <n v="0"/>
  </r>
  <r>
    <x v="1"/>
    <x v="32"/>
    <n v="2"/>
    <n v="4"/>
    <n v="4"/>
    <m/>
    <m/>
    <m/>
    <m/>
    <n v="4"/>
    <n v="2"/>
    <n v="16"/>
  </r>
  <r>
    <x v="1"/>
    <x v="33"/>
    <m/>
    <m/>
    <m/>
    <m/>
    <m/>
    <m/>
    <m/>
    <m/>
    <m/>
    <n v="0"/>
  </r>
  <r>
    <x v="1"/>
    <x v="34"/>
    <m/>
    <m/>
    <m/>
    <m/>
    <m/>
    <m/>
    <m/>
    <m/>
    <m/>
    <n v="0"/>
  </r>
  <r>
    <x v="1"/>
    <x v="35"/>
    <n v="10"/>
    <n v="16"/>
    <n v="16"/>
    <m/>
    <m/>
    <m/>
    <m/>
    <n v="6"/>
    <n v="10"/>
    <n v="58"/>
  </r>
  <r>
    <x v="1"/>
    <x v="36"/>
    <n v="6"/>
    <n v="8"/>
    <n v="6"/>
    <m/>
    <m/>
    <m/>
    <m/>
    <n v="6"/>
    <n v="6"/>
    <n v="32"/>
  </r>
  <r>
    <x v="1"/>
    <x v="37"/>
    <n v="10"/>
    <n v="10"/>
    <n v="10"/>
    <m/>
    <m/>
    <m/>
    <m/>
    <n v="10"/>
    <n v="10"/>
    <n v="50"/>
  </r>
  <r>
    <x v="1"/>
    <x v="38"/>
    <m/>
    <m/>
    <m/>
    <m/>
    <m/>
    <m/>
    <m/>
    <m/>
    <m/>
    <n v="0"/>
  </r>
  <r>
    <x v="1"/>
    <x v="39"/>
    <m/>
    <m/>
    <m/>
    <m/>
    <m/>
    <m/>
    <m/>
    <m/>
    <m/>
    <n v="0"/>
  </r>
  <r>
    <x v="1"/>
    <x v="40"/>
    <m/>
    <m/>
    <m/>
    <m/>
    <m/>
    <m/>
    <m/>
    <m/>
    <m/>
    <n v="0"/>
  </r>
  <r>
    <x v="1"/>
    <x v="41"/>
    <m/>
    <m/>
    <m/>
    <m/>
    <m/>
    <m/>
    <m/>
    <m/>
    <m/>
    <n v="0"/>
  </r>
  <r>
    <x v="1"/>
    <x v="42"/>
    <n v="18"/>
    <n v="20"/>
    <n v="16"/>
    <m/>
    <m/>
    <m/>
    <m/>
    <n v="16"/>
    <n v="20"/>
    <n v="90"/>
  </r>
  <r>
    <x v="1"/>
    <x v="43"/>
    <n v="10"/>
    <n v="12"/>
    <n v="12"/>
    <m/>
    <m/>
    <m/>
    <m/>
    <n v="8"/>
    <n v="10"/>
    <n v="52"/>
  </r>
  <r>
    <x v="1"/>
    <x v="44"/>
    <m/>
    <m/>
    <m/>
    <m/>
    <m/>
    <m/>
    <m/>
    <m/>
    <m/>
    <n v="0"/>
  </r>
  <r>
    <x v="1"/>
    <x v="45"/>
    <m/>
    <m/>
    <m/>
    <m/>
    <m/>
    <m/>
    <m/>
    <m/>
    <m/>
    <n v="0"/>
  </r>
  <r>
    <x v="1"/>
    <x v="46"/>
    <m/>
    <m/>
    <m/>
    <m/>
    <m/>
    <m/>
    <m/>
    <m/>
    <m/>
    <n v="0"/>
  </r>
  <r>
    <x v="1"/>
    <x v="47"/>
    <m/>
    <m/>
    <m/>
    <m/>
    <m/>
    <m/>
    <m/>
    <m/>
    <m/>
    <n v="0"/>
  </r>
  <r>
    <x v="1"/>
    <x v="48"/>
    <m/>
    <m/>
    <m/>
    <m/>
    <m/>
    <m/>
    <m/>
    <m/>
    <m/>
    <n v="0"/>
  </r>
  <r>
    <x v="1"/>
    <x v="49"/>
    <m/>
    <m/>
    <m/>
    <m/>
    <m/>
    <m/>
    <m/>
    <m/>
    <m/>
    <n v="0"/>
  </r>
  <r>
    <x v="1"/>
    <x v="50"/>
    <n v="6"/>
    <n v="8"/>
    <n v="6"/>
    <m/>
    <m/>
    <m/>
    <m/>
    <n v="6"/>
    <n v="6"/>
    <n v="32"/>
  </r>
  <r>
    <x v="1"/>
    <x v="51"/>
    <n v="8"/>
    <n v="12"/>
    <n v="10"/>
    <m/>
    <m/>
    <m/>
    <m/>
    <n v="8"/>
    <n v="6"/>
    <n v="44"/>
  </r>
  <r>
    <x v="2"/>
    <x v="0"/>
    <m/>
    <m/>
    <m/>
    <m/>
    <m/>
    <m/>
    <m/>
    <m/>
    <m/>
    <n v="0"/>
  </r>
  <r>
    <x v="2"/>
    <x v="1"/>
    <m/>
    <m/>
    <m/>
    <m/>
    <m/>
    <m/>
    <m/>
    <m/>
    <m/>
    <n v="0"/>
  </r>
  <r>
    <x v="2"/>
    <x v="2"/>
    <m/>
    <m/>
    <m/>
    <m/>
    <m/>
    <m/>
    <m/>
    <m/>
    <m/>
    <n v="0"/>
  </r>
  <r>
    <x v="2"/>
    <x v="3"/>
    <m/>
    <m/>
    <m/>
    <m/>
    <m/>
    <m/>
    <m/>
    <m/>
    <m/>
    <n v="0"/>
  </r>
  <r>
    <x v="2"/>
    <x v="4"/>
    <m/>
    <m/>
    <m/>
    <m/>
    <m/>
    <m/>
    <m/>
    <m/>
    <m/>
    <n v="0"/>
  </r>
  <r>
    <x v="2"/>
    <x v="5"/>
    <m/>
    <m/>
    <m/>
    <m/>
    <m/>
    <m/>
    <m/>
    <m/>
    <m/>
    <n v="0"/>
  </r>
  <r>
    <x v="2"/>
    <x v="6"/>
    <m/>
    <m/>
    <m/>
    <m/>
    <m/>
    <m/>
    <m/>
    <m/>
    <m/>
    <n v="0"/>
  </r>
  <r>
    <x v="2"/>
    <x v="7"/>
    <m/>
    <m/>
    <m/>
    <m/>
    <m/>
    <m/>
    <m/>
    <m/>
    <m/>
    <n v="0"/>
  </r>
  <r>
    <x v="2"/>
    <x v="8"/>
    <m/>
    <m/>
    <m/>
    <m/>
    <m/>
    <m/>
    <m/>
    <m/>
    <m/>
    <n v="0"/>
  </r>
  <r>
    <x v="2"/>
    <x v="9"/>
    <m/>
    <m/>
    <m/>
    <m/>
    <m/>
    <m/>
    <m/>
    <m/>
    <m/>
    <n v="0"/>
  </r>
  <r>
    <x v="2"/>
    <x v="10"/>
    <m/>
    <m/>
    <m/>
    <m/>
    <m/>
    <m/>
    <m/>
    <m/>
    <m/>
    <n v="0"/>
  </r>
  <r>
    <x v="2"/>
    <x v="11"/>
    <m/>
    <m/>
    <m/>
    <m/>
    <m/>
    <m/>
    <m/>
    <m/>
    <m/>
    <n v="0"/>
  </r>
  <r>
    <x v="2"/>
    <x v="12"/>
    <m/>
    <m/>
    <m/>
    <m/>
    <m/>
    <m/>
    <m/>
    <m/>
    <m/>
    <n v="0"/>
  </r>
  <r>
    <x v="2"/>
    <x v="13"/>
    <m/>
    <m/>
    <m/>
    <m/>
    <m/>
    <m/>
    <m/>
    <m/>
    <m/>
    <n v="0"/>
  </r>
  <r>
    <x v="2"/>
    <x v="14"/>
    <m/>
    <m/>
    <m/>
    <m/>
    <m/>
    <m/>
    <m/>
    <m/>
    <m/>
    <n v="0"/>
  </r>
  <r>
    <x v="2"/>
    <x v="15"/>
    <m/>
    <m/>
    <m/>
    <m/>
    <m/>
    <m/>
    <m/>
    <m/>
    <m/>
    <n v="0"/>
  </r>
  <r>
    <x v="2"/>
    <x v="16"/>
    <m/>
    <m/>
    <m/>
    <m/>
    <m/>
    <m/>
    <m/>
    <m/>
    <m/>
    <n v="0"/>
  </r>
  <r>
    <x v="2"/>
    <x v="17"/>
    <m/>
    <m/>
    <m/>
    <m/>
    <m/>
    <m/>
    <m/>
    <m/>
    <m/>
    <n v="0"/>
  </r>
  <r>
    <x v="2"/>
    <x v="18"/>
    <m/>
    <m/>
    <m/>
    <m/>
    <m/>
    <m/>
    <m/>
    <m/>
    <m/>
    <n v="0"/>
  </r>
  <r>
    <x v="2"/>
    <x v="19"/>
    <m/>
    <m/>
    <m/>
    <m/>
    <m/>
    <m/>
    <m/>
    <m/>
    <m/>
    <n v="0"/>
  </r>
  <r>
    <x v="2"/>
    <x v="20"/>
    <m/>
    <m/>
    <m/>
    <m/>
    <m/>
    <m/>
    <m/>
    <m/>
    <m/>
    <n v="0"/>
  </r>
  <r>
    <x v="2"/>
    <x v="21"/>
    <m/>
    <m/>
    <m/>
    <m/>
    <m/>
    <m/>
    <m/>
    <m/>
    <m/>
    <n v="0"/>
  </r>
  <r>
    <x v="2"/>
    <x v="22"/>
    <m/>
    <m/>
    <m/>
    <m/>
    <m/>
    <m/>
    <m/>
    <m/>
    <m/>
    <n v="0"/>
  </r>
  <r>
    <x v="2"/>
    <x v="23"/>
    <m/>
    <m/>
    <m/>
    <m/>
    <m/>
    <m/>
    <m/>
    <m/>
    <m/>
    <n v="0"/>
  </r>
  <r>
    <x v="2"/>
    <x v="24"/>
    <m/>
    <m/>
    <m/>
    <m/>
    <m/>
    <m/>
    <m/>
    <m/>
    <m/>
    <n v="0"/>
  </r>
  <r>
    <x v="2"/>
    <x v="25"/>
    <m/>
    <m/>
    <m/>
    <m/>
    <m/>
    <m/>
    <m/>
    <m/>
    <m/>
    <n v="0"/>
  </r>
  <r>
    <x v="2"/>
    <x v="26"/>
    <m/>
    <m/>
    <m/>
    <m/>
    <m/>
    <m/>
    <m/>
    <m/>
    <m/>
    <n v="0"/>
  </r>
  <r>
    <x v="2"/>
    <x v="27"/>
    <m/>
    <m/>
    <m/>
    <m/>
    <m/>
    <m/>
    <m/>
    <m/>
    <m/>
    <n v="0"/>
  </r>
  <r>
    <x v="2"/>
    <x v="28"/>
    <m/>
    <m/>
    <m/>
    <m/>
    <m/>
    <m/>
    <m/>
    <m/>
    <m/>
    <n v="0"/>
  </r>
  <r>
    <x v="2"/>
    <x v="29"/>
    <m/>
    <m/>
    <m/>
    <m/>
    <m/>
    <m/>
    <m/>
    <m/>
    <m/>
    <n v="0"/>
  </r>
  <r>
    <x v="2"/>
    <x v="30"/>
    <m/>
    <m/>
    <m/>
    <m/>
    <m/>
    <m/>
    <m/>
    <m/>
    <m/>
    <n v="0"/>
  </r>
  <r>
    <x v="2"/>
    <x v="31"/>
    <m/>
    <m/>
    <m/>
    <m/>
    <m/>
    <m/>
    <m/>
    <m/>
    <m/>
    <n v="0"/>
  </r>
  <r>
    <x v="2"/>
    <x v="32"/>
    <m/>
    <m/>
    <m/>
    <m/>
    <m/>
    <m/>
    <m/>
    <m/>
    <m/>
    <n v="0"/>
  </r>
  <r>
    <x v="2"/>
    <x v="33"/>
    <m/>
    <m/>
    <m/>
    <m/>
    <m/>
    <m/>
    <m/>
    <m/>
    <m/>
    <n v="0"/>
  </r>
  <r>
    <x v="2"/>
    <x v="34"/>
    <m/>
    <m/>
    <m/>
    <m/>
    <m/>
    <m/>
    <m/>
    <m/>
    <m/>
    <n v="0"/>
  </r>
  <r>
    <x v="2"/>
    <x v="35"/>
    <m/>
    <m/>
    <m/>
    <m/>
    <m/>
    <m/>
    <m/>
    <m/>
    <m/>
    <n v="0"/>
  </r>
  <r>
    <x v="2"/>
    <x v="36"/>
    <m/>
    <m/>
    <m/>
    <m/>
    <m/>
    <m/>
    <m/>
    <m/>
    <m/>
    <n v="0"/>
  </r>
  <r>
    <x v="2"/>
    <x v="37"/>
    <m/>
    <m/>
    <m/>
    <m/>
    <m/>
    <m/>
    <m/>
    <m/>
    <m/>
    <n v="0"/>
  </r>
  <r>
    <x v="2"/>
    <x v="38"/>
    <m/>
    <m/>
    <m/>
    <m/>
    <m/>
    <m/>
    <m/>
    <m/>
    <m/>
    <n v="0"/>
  </r>
  <r>
    <x v="2"/>
    <x v="39"/>
    <m/>
    <m/>
    <m/>
    <m/>
    <m/>
    <m/>
    <m/>
    <m/>
    <m/>
    <n v="0"/>
  </r>
  <r>
    <x v="2"/>
    <x v="40"/>
    <m/>
    <m/>
    <m/>
    <m/>
    <m/>
    <m/>
    <m/>
    <m/>
    <m/>
    <n v="0"/>
  </r>
  <r>
    <x v="2"/>
    <x v="41"/>
    <m/>
    <m/>
    <m/>
    <m/>
    <m/>
    <m/>
    <m/>
    <m/>
    <m/>
    <n v="0"/>
  </r>
  <r>
    <x v="2"/>
    <x v="42"/>
    <m/>
    <m/>
    <m/>
    <m/>
    <m/>
    <m/>
    <m/>
    <m/>
    <m/>
    <n v="0"/>
  </r>
  <r>
    <x v="2"/>
    <x v="43"/>
    <m/>
    <m/>
    <m/>
    <m/>
    <m/>
    <m/>
    <m/>
    <m/>
    <m/>
    <n v="0"/>
  </r>
  <r>
    <x v="2"/>
    <x v="44"/>
    <m/>
    <m/>
    <m/>
    <m/>
    <m/>
    <m/>
    <m/>
    <m/>
    <m/>
    <n v="0"/>
  </r>
  <r>
    <x v="2"/>
    <x v="45"/>
    <m/>
    <m/>
    <m/>
    <m/>
    <m/>
    <m/>
    <m/>
    <m/>
    <m/>
    <n v="0"/>
  </r>
  <r>
    <x v="2"/>
    <x v="46"/>
    <m/>
    <m/>
    <m/>
    <m/>
    <m/>
    <m/>
    <m/>
    <m/>
    <m/>
    <n v="0"/>
  </r>
  <r>
    <x v="2"/>
    <x v="47"/>
    <m/>
    <m/>
    <m/>
    <m/>
    <m/>
    <m/>
    <m/>
    <m/>
    <m/>
    <n v="0"/>
  </r>
  <r>
    <x v="2"/>
    <x v="48"/>
    <m/>
    <m/>
    <m/>
    <m/>
    <m/>
    <m/>
    <m/>
    <m/>
    <m/>
    <n v="0"/>
  </r>
  <r>
    <x v="2"/>
    <x v="49"/>
    <m/>
    <m/>
    <n v="2"/>
    <m/>
    <m/>
    <m/>
    <m/>
    <m/>
    <m/>
    <n v="2"/>
  </r>
  <r>
    <x v="2"/>
    <x v="50"/>
    <m/>
    <m/>
    <m/>
    <m/>
    <m/>
    <m/>
    <m/>
    <m/>
    <m/>
    <n v="0"/>
  </r>
  <r>
    <x v="2"/>
    <x v="51"/>
    <m/>
    <m/>
    <m/>
    <m/>
    <m/>
    <m/>
    <m/>
    <m/>
    <m/>
    <n v="0"/>
  </r>
  <r>
    <x v="3"/>
    <x v="0"/>
    <m/>
    <m/>
    <m/>
    <m/>
    <m/>
    <m/>
    <m/>
    <m/>
    <m/>
    <n v="0"/>
  </r>
  <r>
    <x v="3"/>
    <x v="1"/>
    <m/>
    <m/>
    <m/>
    <m/>
    <m/>
    <m/>
    <m/>
    <m/>
    <m/>
    <n v="0"/>
  </r>
  <r>
    <x v="3"/>
    <x v="2"/>
    <m/>
    <m/>
    <n v="7"/>
    <n v="2"/>
    <m/>
    <m/>
    <m/>
    <m/>
    <m/>
    <n v="9"/>
  </r>
  <r>
    <x v="3"/>
    <x v="3"/>
    <m/>
    <m/>
    <m/>
    <m/>
    <m/>
    <m/>
    <m/>
    <m/>
    <m/>
    <n v="0"/>
  </r>
  <r>
    <x v="3"/>
    <x v="4"/>
    <m/>
    <m/>
    <n v="6"/>
    <n v="22"/>
    <n v="4"/>
    <m/>
    <m/>
    <n v="4"/>
    <n v="2"/>
    <n v="38"/>
  </r>
  <r>
    <x v="3"/>
    <x v="5"/>
    <m/>
    <m/>
    <m/>
    <m/>
    <m/>
    <m/>
    <m/>
    <m/>
    <m/>
    <n v="0"/>
  </r>
  <r>
    <x v="3"/>
    <x v="6"/>
    <m/>
    <m/>
    <n v="1"/>
    <n v="2"/>
    <m/>
    <m/>
    <m/>
    <n v="1"/>
    <m/>
    <n v="4"/>
  </r>
  <r>
    <x v="3"/>
    <x v="7"/>
    <m/>
    <m/>
    <m/>
    <m/>
    <m/>
    <m/>
    <m/>
    <m/>
    <m/>
    <n v="0"/>
  </r>
  <r>
    <x v="3"/>
    <x v="8"/>
    <m/>
    <m/>
    <m/>
    <m/>
    <m/>
    <m/>
    <m/>
    <m/>
    <m/>
    <n v="0"/>
  </r>
  <r>
    <x v="3"/>
    <x v="9"/>
    <m/>
    <m/>
    <m/>
    <m/>
    <m/>
    <m/>
    <m/>
    <m/>
    <m/>
    <n v="0"/>
  </r>
  <r>
    <x v="3"/>
    <x v="10"/>
    <m/>
    <m/>
    <n v="10"/>
    <n v="30"/>
    <m/>
    <n v="30"/>
    <m/>
    <n v="30"/>
    <m/>
    <n v="100"/>
  </r>
  <r>
    <x v="3"/>
    <x v="11"/>
    <m/>
    <m/>
    <m/>
    <m/>
    <m/>
    <m/>
    <m/>
    <m/>
    <m/>
    <n v="0"/>
  </r>
  <r>
    <x v="3"/>
    <x v="12"/>
    <m/>
    <m/>
    <m/>
    <m/>
    <m/>
    <m/>
    <m/>
    <m/>
    <m/>
    <n v="0"/>
  </r>
  <r>
    <x v="3"/>
    <x v="13"/>
    <m/>
    <m/>
    <m/>
    <m/>
    <m/>
    <m/>
    <m/>
    <m/>
    <m/>
    <n v="0"/>
  </r>
  <r>
    <x v="3"/>
    <x v="14"/>
    <m/>
    <m/>
    <m/>
    <m/>
    <m/>
    <m/>
    <n v="1"/>
    <n v="1"/>
    <m/>
    <n v="2"/>
  </r>
  <r>
    <x v="3"/>
    <x v="15"/>
    <m/>
    <m/>
    <m/>
    <m/>
    <m/>
    <m/>
    <m/>
    <m/>
    <m/>
    <n v="0"/>
  </r>
  <r>
    <x v="3"/>
    <x v="16"/>
    <m/>
    <m/>
    <m/>
    <m/>
    <m/>
    <m/>
    <m/>
    <m/>
    <m/>
    <n v="0"/>
  </r>
  <r>
    <x v="3"/>
    <x v="17"/>
    <m/>
    <m/>
    <m/>
    <m/>
    <m/>
    <m/>
    <m/>
    <m/>
    <m/>
    <n v="0"/>
  </r>
  <r>
    <x v="3"/>
    <x v="18"/>
    <m/>
    <m/>
    <m/>
    <m/>
    <m/>
    <m/>
    <m/>
    <m/>
    <m/>
    <n v="0"/>
  </r>
  <r>
    <x v="3"/>
    <x v="19"/>
    <m/>
    <m/>
    <m/>
    <m/>
    <m/>
    <m/>
    <m/>
    <m/>
    <m/>
    <n v="0"/>
  </r>
  <r>
    <x v="3"/>
    <x v="20"/>
    <m/>
    <m/>
    <m/>
    <m/>
    <m/>
    <m/>
    <m/>
    <m/>
    <m/>
    <n v="0"/>
  </r>
  <r>
    <x v="3"/>
    <x v="21"/>
    <m/>
    <m/>
    <m/>
    <m/>
    <m/>
    <m/>
    <m/>
    <m/>
    <m/>
    <n v="0"/>
  </r>
  <r>
    <x v="3"/>
    <x v="22"/>
    <m/>
    <m/>
    <m/>
    <m/>
    <n v="1"/>
    <n v="3"/>
    <n v="1"/>
    <n v="3"/>
    <m/>
    <n v="8"/>
  </r>
  <r>
    <x v="3"/>
    <x v="23"/>
    <m/>
    <m/>
    <m/>
    <m/>
    <m/>
    <m/>
    <m/>
    <m/>
    <m/>
    <n v="0"/>
  </r>
  <r>
    <x v="3"/>
    <x v="24"/>
    <m/>
    <m/>
    <m/>
    <m/>
    <m/>
    <m/>
    <m/>
    <m/>
    <m/>
    <n v="0"/>
  </r>
  <r>
    <x v="3"/>
    <x v="25"/>
    <m/>
    <m/>
    <m/>
    <m/>
    <m/>
    <m/>
    <m/>
    <m/>
    <m/>
    <n v="0"/>
  </r>
  <r>
    <x v="3"/>
    <x v="26"/>
    <m/>
    <m/>
    <m/>
    <n v="1"/>
    <m/>
    <m/>
    <m/>
    <m/>
    <m/>
    <n v="1"/>
  </r>
  <r>
    <x v="3"/>
    <x v="27"/>
    <m/>
    <m/>
    <m/>
    <m/>
    <m/>
    <m/>
    <m/>
    <m/>
    <m/>
    <n v="0"/>
  </r>
  <r>
    <x v="3"/>
    <x v="28"/>
    <m/>
    <m/>
    <m/>
    <m/>
    <m/>
    <m/>
    <m/>
    <m/>
    <m/>
    <n v="0"/>
  </r>
  <r>
    <x v="3"/>
    <x v="29"/>
    <m/>
    <m/>
    <m/>
    <m/>
    <n v="1"/>
    <m/>
    <m/>
    <m/>
    <m/>
    <n v="1"/>
  </r>
  <r>
    <x v="3"/>
    <x v="30"/>
    <m/>
    <n v="2"/>
    <n v="2"/>
    <m/>
    <n v="2"/>
    <m/>
    <m/>
    <n v="2"/>
    <n v="2"/>
    <n v="10"/>
  </r>
  <r>
    <x v="3"/>
    <x v="31"/>
    <n v="4"/>
    <n v="4"/>
    <n v="11"/>
    <n v="10"/>
    <n v="7"/>
    <n v="4"/>
    <n v="7"/>
    <n v="10"/>
    <n v="10"/>
    <n v="67"/>
  </r>
  <r>
    <x v="3"/>
    <x v="32"/>
    <m/>
    <m/>
    <m/>
    <m/>
    <m/>
    <m/>
    <m/>
    <m/>
    <m/>
    <n v="0"/>
  </r>
  <r>
    <x v="3"/>
    <x v="33"/>
    <m/>
    <m/>
    <m/>
    <m/>
    <m/>
    <m/>
    <m/>
    <m/>
    <m/>
    <n v="0"/>
  </r>
  <r>
    <x v="3"/>
    <x v="34"/>
    <m/>
    <m/>
    <m/>
    <m/>
    <m/>
    <m/>
    <m/>
    <m/>
    <m/>
    <n v="0"/>
  </r>
  <r>
    <x v="3"/>
    <x v="35"/>
    <n v="5"/>
    <n v="7"/>
    <n v="12"/>
    <n v="19"/>
    <n v="21"/>
    <n v="11"/>
    <n v="24"/>
    <n v="11"/>
    <n v="9"/>
    <n v="119"/>
  </r>
  <r>
    <x v="3"/>
    <x v="36"/>
    <m/>
    <m/>
    <m/>
    <m/>
    <m/>
    <m/>
    <m/>
    <m/>
    <m/>
    <n v="0"/>
  </r>
  <r>
    <x v="3"/>
    <x v="37"/>
    <m/>
    <m/>
    <m/>
    <m/>
    <m/>
    <m/>
    <m/>
    <m/>
    <m/>
    <n v="0"/>
  </r>
  <r>
    <x v="3"/>
    <x v="38"/>
    <m/>
    <m/>
    <m/>
    <m/>
    <m/>
    <m/>
    <m/>
    <m/>
    <m/>
    <n v="0"/>
  </r>
  <r>
    <x v="3"/>
    <x v="39"/>
    <m/>
    <m/>
    <m/>
    <m/>
    <m/>
    <m/>
    <m/>
    <m/>
    <m/>
    <n v="0"/>
  </r>
  <r>
    <x v="3"/>
    <x v="40"/>
    <m/>
    <m/>
    <m/>
    <m/>
    <m/>
    <m/>
    <m/>
    <m/>
    <m/>
    <n v="0"/>
  </r>
  <r>
    <x v="3"/>
    <x v="41"/>
    <m/>
    <m/>
    <m/>
    <m/>
    <m/>
    <m/>
    <m/>
    <m/>
    <m/>
    <n v="0"/>
  </r>
  <r>
    <x v="3"/>
    <x v="42"/>
    <m/>
    <m/>
    <m/>
    <m/>
    <m/>
    <m/>
    <m/>
    <m/>
    <m/>
    <n v="0"/>
  </r>
  <r>
    <x v="3"/>
    <x v="43"/>
    <n v="11"/>
    <m/>
    <n v="2"/>
    <n v="10"/>
    <n v="8"/>
    <m/>
    <n v="2"/>
    <n v="6"/>
    <m/>
    <n v="39"/>
  </r>
  <r>
    <x v="3"/>
    <x v="44"/>
    <m/>
    <m/>
    <m/>
    <m/>
    <m/>
    <m/>
    <m/>
    <m/>
    <m/>
    <n v="0"/>
  </r>
  <r>
    <x v="3"/>
    <x v="45"/>
    <m/>
    <m/>
    <m/>
    <m/>
    <m/>
    <m/>
    <m/>
    <m/>
    <m/>
    <n v="0"/>
  </r>
  <r>
    <x v="3"/>
    <x v="46"/>
    <m/>
    <m/>
    <m/>
    <m/>
    <m/>
    <m/>
    <m/>
    <m/>
    <m/>
    <n v="0"/>
  </r>
  <r>
    <x v="3"/>
    <x v="47"/>
    <m/>
    <m/>
    <m/>
    <m/>
    <m/>
    <m/>
    <m/>
    <m/>
    <m/>
    <n v="0"/>
  </r>
  <r>
    <x v="3"/>
    <x v="48"/>
    <m/>
    <m/>
    <m/>
    <m/>
    <m/>
    <m/>
    <m/>
    <m/>
    <m/>
    <n v="0"/>
  </r>
  <r>
    <x v="3"/>
    <x v="49"/>
    <m/>
    <m/>
    <m/>
    <m/>
    <m/>
    <m/>
    <m/>
    <m/>
    <m/>
    <n v="0"/>
  </r>
  <r>
    <x v="3"/>
    <x v="50"/>
    <m/>
    <m/>
    <m/>
    <m/>
    <m/>
    <m/>
    <m/>
    <m/>
    <m/>
    <n v="0"/>
  </r>
  <r>
    <x v="3"/>
    <x v="51"/>
    <m/>
    <m/>
    <n v="2"/>
    <n v="9"/>
    <n v="4"/>
    <m/>
    <n v="4"/>
    <m/>
    <n v="2"/>
    <n v="21"/>
  </r>
  <r>
    <x v="4"/>
    <x v="0"/>
    <m/>
    <m/>
    <m/>
    <m/>
    <m/>
    <m/>
    <m/>
    <m/>
    <m/>
    <n v="0"/>
  </r>
  <r>
    <x v="4"/>
    <x v="1"/>
    <m/>
    <m/>
    <m/>
    <m/>
    <m/>
    <m/>
    <m/>
    <m/>
    <m/>
    <n v="0"/>
  </r>
  <r>
    <x v="4"/>
    <x v="2"/>
    <m/>
    <m/>
    <m/>
    <m/>
    <m/>
    <m/>
    <m/>
    <m/>
    <m/>
    <n v="0"/>
  </r>
  <r>
    <x v="4"/>
    <x v="3"/>
    <m/>
    <m/>
    <m/>
    <m/>
    <m/>
    <m/>
    <m/>
    <m/>
    <m/>
    <n v="0"/>
  </r>
  <r>
    <x v="4"/>
    <x v="4"/>
    <m/>
    <m/>
    <m/>
    <m/>
    <m/>
    <m/>
    <m/>
    <m/>
    <m/>
    <n v="0"/>
  </r>
  <r>
    <x v="4"/>
    <x v="5"/>
    <m/>
    <m/>
    <m/>
    <m/>
    <m/>
    <m/>
    <m/>
    <m/>
    <m/>
    <n v="0"/>
  </r>
  <r>
    <x v="4"/>
    <x v="6"/>
    <m/>
    <m/>
    <m/>
    <m/>
    <m/>
    <m/>
    <m/>
    <m/>
    <m/>
    <n v="0"/>
  </r>
  <r>
    <x v="4"/>
    <x v="7"/>
    <m/>
    <m/>
    <m/>
    <m/>
    <m/>
    <m/>
    <m/>
    <m/>
    <m/>
    <n v="0"/>
  </r>
  <r>
    <x v="4"/>
    <x v="8"/>
    <m/>
    <m/>
    <m/>
    <m/>
    <m/>
    <m/>
    <m/>
    <m/>
    <m/>
    <n v="0"/>
  </r>
  <r>
    <x v="4"/>
    <x v="9"/>
    <m/>
    <m/>
    <m/>
    <m/>
    <m/>
    <m/>
    <m/>
    <m/>
    <m/>
    <n v="0"/>
  </r>
  <r>
    <x v="4"/>
    <x v="10"/>
    <m/>
    <m/>
    <m/>
    <m/>
    <m/>
    <m/>
    <m/>
    <m/>
    <m/>
    <n v="0"/>
  </r>
  <r>
    <x v="4"/>
    <x v="11"/>
    <m/>
    <m/>
    <m/>
    <m/>
    <m/>
    <m/>
    <m/>
    <m/>
    <m/>
    <n v="0"/>
  </r>
  <r>
    <x v="4"/>
    <x v="12"/>
    <m/>
    <m/>
    <m/>
    <m/>
    <m/>
    <m/>
    <m/>
    <m/>
    <m/>
    <n v="0"/>
  </r>
  <r>
    <x v="4"/>
    <x v="13"/>
    <m/>
    <m/>
    <m/>
    <m/>
    <m/>
    <m/>
    <m/>
    <m/>
    <m/>
    <n v="0"/>
  </r>
  <r>
    <x v="4"/>
    <x v="14"/>
    <m/>
    <m/>
    <m/>
    <m/>
    <m/>
    <m/>
    <m/>
    <m/>
    <m/>
    <n v="0"/>
  </r>
  <r>
    <x v="4"/>
    <x v="15"/>
    <m/>
    <m/>
    <m/>
    <m/>
    <m/>
    <m/>
    <m/>
    <m/>
    <m/>
    <n v="0"/>
  </r>
  <r>
    <x v="4"/>
    <x v="16"/>
    <m/>
    <m/>
    <m/>
    <m/>
    <m/>
    <m/>
    <m/>
    <m/>
    <m/>
    <n v="0"/>
  </r>
  <r>
    <x v="4"/>
    <x v="17"/>
    <m/>
    <m/>
    <m/>
    <m/>
    <m/>
    <m/>
    <m/>
    <m/>
    <m/>
    <n v="0"/>
  </r>
  <r>
    <x v="4"/>
    <x v="18"/>
    <m/>
    <m/>
    <m/>
    <m/>
    <m/>
    <m/>
    <m/>
    <m/>
    <m/>
    <n v="0"/>
  </r>
  <r>
    <x v="4"/>
    <x v="19"/>
    <m/>
    <m/>
    <m/>
    <m/>
    <m/>
    <m/>
    <m/>
    <m/>
    <m/>
    <n v="0"/>
  </r>
  <r>
    <x v="4"/>
    <x v="20"/>
    <m/>
    <m/>
    <m/>
    <m/>
    <m/>
    <m/>
    <m/>
    <m/>
    <m/>
    <n v="0"/>
  </r>
  <r>
    <x v="4"/>
    <x v="21"/>
    <m/>
    <m/>
    <m/>
    <m/>
    <m/>
    <m/>
    <m/>
    <m/>
    <m/>
    <n v="0"/>
  </r>
  <r>
    <x v="4"/>
    <x v="22"/>
    <m/>
    <m/>
    <m/>
    <m/>
    <m/>
    <m/>
    <m/>
    <m/>
    <m/>
    <n v="0"/>
  </r>
  <r>
    <x v="4"/>
    <x v="23"/>
    <m/>
    <m/>
    <m/>
    <m/>
    <m/>
    <m/>
    <m/>
    <m/>
    <m/>
    <n v="0"/>
  </r>
  <r>
    <x v="4"/>
    <x v="24"/>
    <m/>
    <m/>
    <m/>
    <m/>
    <m/>
    <m/>
    <m/>
    <m/>
    <m/>
    <n v="0"/>
  </r>
  <r>
    <x v="4"/>
    <x v="25"/>
    <m/>
    <m/>
    <m/>
    <m/>
    <m/>
    <m/>
    <m/>
    <m/>
    <m/>
    <n v="0"/>
  </r>
  <r>
    <x v="4"/>
    <x v="26"/>
    <m/>
    <m/>
    <m/>
    <m/>
    <m/>
    <m/>
    <m/>
    <m/>
    <m/>
    <n v="0"/>
  </r>
  <r>
    <x v="4"/>
    <x v="27"/>
    <m/>
    <m/>
    <m/>
    <m/>
    <m/>
    <m/>
    <m/>
    <m/>
    <m/>
    <n v="0"/>
  </r>
  <r>
    <x v="4"/>
    <x v="28"/>
    <m/>
    <m/>
    <m/>
    <m/>
    <m/>
    <m/>
    <m/>
    <m/>
    <m/>
    <n v="0"/>
  </r>
  <r>
    <x v="4"/>
    <x v="29"/>
    <m/>
    <m/>
    <m/>
    <m/>
    <m/>
    <m/>
    <m/>
    <m/>
    <m/>
    <n v="0"/>
  </r>
  <r>
    <x v="4"/>
    <x v="30"/>
    <m/>
    <m/>
    <m/>
    <m/>
    <m/>
    <m/>
    <m/>
    <m/>
    <m/>
    <n v="0"/>
  </r>
  <r>
    <x v="4"/>
    <x v="31"/>
    <m/>
    <m/>
    <m/>
    <m/>
    <m/>
    <m/>
    <m/>
    <m/>
    <n v="2"/>
    <n v="2"/>
  </r>
  <r>
    <x v="4"/>
    <x v="32"/>
    <m/>
    <m/>
    <m/>
    <m/>
    <m/>
    <m/>
    <m/>
    <m/>
    <m/>
    <n v="0"/>
  </r>
  <r>
    <x v="4"/>
    <x v="33"/>
    <m/>
    <m/>
    <m/>
    <m/>
    <m/>
    <m/>
    <m/>
    <m/>
    <m/>
    <n v="0"/>
  </r>
  <r>
    <x v="4"/>
    <x v="34"/>
    <m/>
    <m/>
    <m/>
    <m/>
    <m/>
    <m/>
    <m/>
    <m/>
    <m/>
    <n v="0"/>
  </r>
  <r>
    <x v="4"/>
    <x v="35"/>
    <m/>
    <m/>
    <m/>
    <m/>
    <m/>
    <m/>
    <m/>
    <m/>
    <m/>
    <n v="0"/>
  </r>
  <r>
    <x v="4"/>
    <x v="36"/>
    <m/>
    <m/>
    <m/>
    <m/>
    <m/>
    <m/>
    <m/>
    <m/>
    <m/>
    <n v="0"/>
  </r>
  <r>
    <x v="4"/>
    <x v="37"/>
    <m/>
    <m/>
    <m/>
    <m/>
    <m/>
    <m/>
    <m/>
    <m/>
    <m/>
    <n v="0"/>
  </r>
  <r>
    <x v="4"/>
    <x v="38"/>
    <m/>
    <m/>
    <m/>
    <m/>
    <m/>
    <m/>
    <m/>
    <m/>
    <m/>
    <n v="0"/>
  </r>
  <r>
    <x v="4"/>
    <x v="39"/>
    <m/>
    <m/>
    <m/>
    <m/>
    <m/>
    <m/>
    <m/>
    <m/>
    <m/>
    <n v="0"/>
  </r>
  <r>
    <x v="4"/>
    <x v="40"/>
    <m/>
    <m/>
    <m/>
    <m/>
    <m/>
    <m/>
    <m/>
    <m/>
    <m/>
    <n v="0"/>
  </r>
  <r>
    <x v="4"/>
    <x v="41"/>
    <m/>
    <m/>
    <m/>
    <m/>
    <m/>
    <m/>
    <m/>
    <m/>
    <m/>
    <n v="0"/>
  </r>
  <r>
    <x v="4"/>
    <x v="42"/>
    <m/>
    <m/>
    <m/>
    <m/>
    <m/>
    <m/>
    <m/>
    <m/>
    <m/>
    <n v="0"/>
  </r>
  <r>
    <x v="4"/>
    <x v="43"/>
    <m/>
    <m/>
    <m/>
    <m/>
    <m/>
    <m/>
    <m/>
    <m/>
    <m/>
    <n v="0"/>
  </r>
  <r>
    <x v="4"/>
    <x v="44"/>
    <m/>
    <m/>
    <m/>
    <m/>
    <m/>
    <m/>
    <m/>
    <m/>
    <m/>
    <n v="0"/>
  </r>
  <r>
    <x v="4"/>
    <x v="45"/>
    <m/>
    <m/>
    <m/>
    <m/>
    <m/>
    <m/>
    <m/>
    <m/>
    <m/>
    <n v="0"/>
  </r>
  <r>
    <x v="4"/>
    <x v="46"/>
    <m/>
    <m/>
    <m/>
    <m/>
    <m/>
    <m/>
    <m/>
    <m/>
    <m/>
    <n v="0"/>
  </r>
  <r>
    <x v="4"/>
    <x v="47"/>
    <m/>
    <m/>
    <m/>
    <m/>
    <m/>
    <m/>
    <m/>
    <m/>
    <m/>
    <n v="0"/>
  </r>
  <r>
    <x v="4"/>
    <x v="48"/>
    <m/>
    <m/>
    <m/>
    <m/>
    <m/>
    <m/>
    <m/>
    <m/>
    <m/>
    <n v="0"/>
  </r>
  <r>
    <x v="4"/>
    <x v="49"/>
    <m/>
    <m/>
    <n v="2"/>
    <m/>
    <m/>
    <m/>
    <m/>
    <m/>
    <m/>
    <n v="2"/>
  </r>
  <r>
    <x v="4"/>
    <x v="50"/>
    <m/>
    <m/>
    <m/>
    <m/>
    <m/>
    <m/>
    <m/>
    <m/>
    <m/>
    <n v="0"/>
  </r>
  <r>
    <x v="4"/>
    <x v="51"/>
    <m/>
    <m/>
    <m/>
    <m/>
    <m/>
    <m/>
    <m/>
    <m/>
    <m/>
    <n v="0"/>
  </r>
  <r>
    <x v="5"/>
    <x v="0"/>
    <m/>
    <m/>
    <m/>
    <m/>
    <m/>
    <m/>
    <m/>
    <m/>
    <m/>
    <n v="0"/>
  </r>
  <r>
    <x v="5"/>
    <x v="1"/>
    <m/>
    <m/>
    <m/>
    <m/>
    <m/>
    <m/>
    <m/>
    <m/>
    <m/>
    <n v="0"/>
  </r>
  <r>
    <x v="5"/>
    <x v="2"/>
    <m/>
    <m/>
    <m/>
    <m/>
    <m/>
    <m/>
    <m/>
    <m/>
    <m/>
    <n v="0"/>
  </r>
  <r>
    <x v="5"/>
    <x v="3"/>
    <m/>
    <m/>
    <m/>
    <m/>
    <m/>
    <m/>
    <m/>
    <m/>
    <m/>
    <n v="0"/>
  </r>
  <r>
    <x v="5"/>
    <x v="4"/>
    <m/>
    <m/>
    <m/>
    <m/>
    <m/>
    <m/>
    <m/>
    <m/>
    <m/>
    <n v="0"/>
  </r>
  <r>
    <x v="5"/>
    <x v="5"/>
    <n v="2"/>
    <m/>
    <n v="2"/>
    <n v="2"/>
    <n v="2"/>
    <m/>
    <m/>
    <n v="2"/>
    <m/>
    <n v="10"/>
  </r>
  <r>
    <x v="5"/>
    <x v="6"/>
    <m/>
    <m/>
    <m/>
    <m/>
    <m/>
    <m/>
    <m/>
    <m/>
    <m/>
    <n v="0"/>
  </r>
  <r>
    <x v="5"/>
    <x v="7"/>
    <m/>
    <m/>
    <m/>
    <m/>
    <m/>
    <m/>
    <m/>
    <m/>
    <m/>
    <n v="0"/>
  </r>
  <r>
    <x v="5"/>
    <x v="8"/>
    <m/>
    <m/>
    <m/>
    <m/>
    <m/>
    <m/>
    <m/>
    <m/>
    <m/>
    <n v="0"/>
  </r>
  <r>
    <x v="5"/>
    <x v="9"/>
    <m/>
    <m/>
    <m/>
    <m/>
    <m/>
    <m/>
    <m/>
    <m/>
    <m/>
    <n v="0"/>
  </r>
  <r>
    <x v="5"/>
    <x v="10"/>
    <m/>
    <m/>
    <m/>
    <m/>
    <m/>
    <m/>
    <m/>
    <m/>
    <m/>
    <n v="0"/>
  </r>
  <r>
    <x v="5"/>
    <x v="11"/>
    <m/>
    <m/>
    <m/>
    <m/>
    <m/>
    <m/>
    <m/>
    <m/>
    <m/>
    <n v="0"/>
  </r>
  <r>
    <x v="5"/>
    <x v="12"/>
    <m/>
    <m/>
    <m/>
    <m/>
    <m/>
    <m/>
    <m/>
    <m/>
    <m/>
    <n v="0"/>
  </r>
  <r>
    <x v="5"/>
    <x v="13"/>
    <m/>
    <m/>
    <m/>
    <m/>
    <m/>
    <m/>
    <m/>
    <m/>
    <m/>
    <n v="0"/>
  </r>
  <r>
    <x v="5"/>
    <x v="14"/>
    <m/>
    <m/>
    <m/>
    <m/>
    <m/>
    <m/>
    <m/>
    <m/>
    <m/>
    <n v="0"/>
  </r>
  <r>
    <x v="5"/>
    <x v="15"/>
    <m/>
    <m/>
    <m/>
    <m/>
    <m/>
    <m/>
    <m/>
    <m/>
    <m/>
    <n v="0"/>
  </r>
  <r>
    <x v="5"/>
    <x v="16"/>
    <m/>
    <m/>
    <m/>
    <m/>
    <m/>
    <m/>
    <m/>
    <m/>
    <m/>
    <n v="0"/>
  </r>
  <r>
    <x v="5"/>
    <x v="17"/>
    <m/>
    <m/>
    <m/>
    <m/>
    <m/>
    <m/>
    <m/>
    <m/>
    <m/>
    <n v="0"/>
  </r>
  <r>
    <x v="5"/>
    <x v="18"/>
    <m/>
    <m/>
    <m/>
    <m/>
    <m/>
    <m/>
    <m/>
    <m/>
    <m/>
    <n v="0"/>
  </r>
  <r>
    <x v="5"/>
    <x v="19"/>
    <m/>
    <m/>
    <m/>
    <m/>
    <m/>
    <m/>
    <m/>
    <m/>
    <m/>
    <n v="0"/>
  </r>
  <r>
    <x v="5"/>
    <x v="20"/>
    <m/>
    <m/>
    <m/>
    <m/>
    <m/>
    <m/>
    <m/>
    <m/>
    <m/>
    <n v="0"/>
  </r>
  <r>
    <x v="5"/>
    <x v="21"/>
    <m/>
    <m/>
    <m/>
    <m/>
    <m/>
    <m/>
    <m/>
    <m/>
    <m/>
    <n v="0"/>
  </r>
  <r>
    <x v="5"/>
    <x v="22"/>
    <m/>
    <m/>
    <m/>
    <m/>
    <m/>
    <m/>
    <m/>
    <m/>
    <m/>
    <n v="0"/>
  </r>
  <r>
    <x v="5"/>
    <x v="23"/>
    <m/>
    <m/>
    <m/>
    <m/>
    <m/>
    <m/>
    <m/>
    <m/>
    <m/>
    <n v="0"/>
  </r>
  <r>
    <x v="5"/>
    <x v="24"/>
    <m/>
    <m/>
    <m/>
    <m/>
    <m/>
    <m/>
    <m/>
    <m/>
    <m/>
    <n v="0"/>
  </r>
  <r>
    <x v="5"/>
    <x v="25"/>
    <m/>
    <m/>
    <m/>
    <m/>
    <m/>
    <m/>
    <m/>
    <m/>
    <m/>
    <n v="0"/>
  </r>
  <r>
    <x v="5"/>
    <x v="26"/>
    <m/>
    <m/>
    <m/>
    <m/>
    <m/>
    <m/>
    <m/>
    <m/>
    <m/>
    <n v="0"/>
  </r>
  <r>
    <x v="5"/>
    <x v="27"/>
    <m/>
    <m/>
    <m/>
    <m/>
    <m/>
    <m/>
    <m/>
    <m/>
    <m/>
    <n v="0"/>
  </r>
  <r>
    <x v="5"/>
    <x v="28"/>
    <m/>
    <m/>
    <m/>
    <m/>
    <m/>
    <m/>
    <m/>
    <m/>
    <m/>
    <n v="0"/>
  </r>
  <r>
    <x v="5"/>
    <x v="29"/>
    <m/>
    <m/>
    <m/>
    <m/>
    <m/>
    <m/>
    <m/>
    <m/>
    <m/>
    <n v="0"/>
  </r>
  <r>
    <x v="5"/>
    <x v="30"/>
    <m/>
    <m/>
    <m/>
    <m/>
    <m/>
    <m/>
    <m/>
    <m/>
    <m/>
    <n v="0"/>
  </r>
  <r>
    <x v="5"/>
    <x v="31"/>
    <m/>
    <m/>
    <m/>
    <m/>
    <m/>
    <m/>
    <m/>
    <m/>
    <m/>
    <n v="0"/>
  </r>
  <r>
    <x v="5"/>
    <x v="32"/>
    <m/>
    <m/>
    <m/>
    <m/>
    <m/>
    <m/>
    <m/>
    <m/>
    <m/>
    <n v="0"/>
  </r>
  <r>
    <x v="5"/>
    <x v="33"/>
    <m/>
    <m/>
    <m/>
    <m/>
    <m/>
    <m/>
    <m/>
    <m/>
    <m/>
    <n v="0"/>
  </r>
  <r>
    <x v="5"/>
    <x v="34"/>
    <m/>
    <m/>
    <m/>
    <m/>
    <m/>
    <m/>
    <m/>
    <m/>
    <m/>
    <n v="0"/>
  </r>
  <r>
    <x v="5"/>
    <x v="35"/>
    <m/>
    <m/>
    <m/>
    <m/>
    <m/>
    <m/>
    <m/>
    <m/>
    <m/>
    <n v="0"/>
  </r>
  <r>
    <x v="5"/>
    <x v="36"/>
    <m/>
    <m/>
    <m/>
    <m/>
    <m/>
    <m/>
    <m/>
    <m/>
    <m/>
    <n v="0"/>
  </r>
  <r>
    <x v="5"/>
    <x v="37"/>
    <m/>
    <m/>
    <m/>
    <m/>
    <m/>
    <m/>
    <m/>
    <m/>
    <m/>
    <n v="0"/>
  </r>
  <r>
    <x v="5"/>
    <x v="38"/>
    <m/>
    <m/>
    <m/>
    <m/>
    <m/>
    <m/>
    <m/>
    <m/>
    <m/>
    <n v="0"/>
  </r>
  <r>
    <x v="5"/>
    <x v="39"/>
    <m/>
    <m/>
    <m/>
    <m/>
    <m/>
    <m/>
    <m/>
    <m/>
    <m/>
    <n v="0"/>
  </r>
  <r>
    <x v="5"/>
    <x v="40"/>
    <m/>
    <m/>
    <m/>
    <m/>
    <m/>
    <m/>
    <m/>
    <m/>
    <m/>
    <n v="0"/>
  </r>
  <r>
    <x v="5"/>
    <x v="41"/>
    <m/>
    <m/>
    <m/>
    <m/>
    <m/>
    <m/>
    <m/>
    <m/>
    <m/>
    <n v="0"/>
  </r>
  <r>
    <x v="5"/>
    <x v="42"/>
    <n v="15"/>
    <n v="3"/>
    <n v="15"/>
    <n v="12"/>
    <n v="15"/>
    <m/>
    <n v="3"/>
    <n v="15"/>
    <n v="3"/>
    <n v="81"/>
  </r>
  <r>
    <x v="5"/>
    <x v="43"/>
    <m/>
    <m/>
    <m/>
    <m/>
    <m/>
    <m/>
    <m/>
    <m/>
    <m/>
    <n v="0"/>
  </r>
  <r>
    <x v="5"/>
    <x v="44"/>
    <m/>
    <m/>
    <m/>
    <m/>
    <m/>
    <m/>
    <m/>
    <m/>
    <m/>
    <n v="0"/>
  </r>
  <r>
    <x v="5"/>
    <x v="45"/>
    <m/>
    <m/>
    <m/>
    <m/>
    <m/>
    <m/>
    <m/>
    <m/>
    <m/>
    <n v="0"/>
  </r>
  <r>
    <x v="5"/>
    <x v="46"/>
    <m/>
    <m/>
    <m/>
    <m/>
    <m/>
    <m/>
    <m/>
    <m/>
    <m/>
    <n v="0"/>
  </r>
  <r>
    <x v="5"/>
    <x v="47"/>
    <m/>
    <m/>
    <m/>
    <m/>
    <m/>
    <m/>
    <m/>
    <m/>
    <m/>
    <n v="0"/>
  </r>
  <r>
    <x v="5"/>
    <x v="48"/>
    <m/>
    <m/>
    <m/>
    <m/>
    <m/>
    <m/>
    <m/>
    <m/>
    <m/>
    <n v="0"/>
  </r>
  <r>
    <x v="5"/>
    <x v="49"/>
    <n v="8"/>
    <n v="8"/>
    <n v="8"/>
    <n v="0"/>
    <n v="5"/>
    <n v="0"/>
    <n v="5"/>
    <n v="5"/>
    <n v="5"/>
    <n v="44"/>
  </r>
  <r>
    <x v="5"/>
    <x v="50"/>
    <m/>
    <m/>
    <m/>
    <m/>
    <m/>
    <m/>
    <m/>
    <m/>
    <m/>
    <n v="0"/>
  </r>
  <r>
    <x v="5"/>
    <x v="51"/>
    <m/>
    <m/>
    <m/>
    <m/>
    <m/>
    <m/>
    <m/>
    <m/>
    <m/>
    <n v="0"/>
  </r>
  <r>
    <x v="5"/>
    <x v="52"/>
    <n v="1"/>
    <n v="1"/>
    <m/>
    <n v="2"/>
    <n v="2"/>
    <n v="2"/>
    <m/>
    <n v="1"/>
    <n v="3"/>
    <n v="12"/>
  </r>
  <r>
    <x v="5"/>
    <x v="53"/>
    <m/>
    <m/>
    <n v="3"/>
    <m/>
    <n v="3"/>
    <n v="3"/>
    <n v="3"/>
    <n v="3"/>
    <n v="3"/>
    <n v="18"/>
  </r>
  <r>
    <x v="5"/>
    <x v="54"/>
    <n v="30"/>
    <n v="0"/>
    <n v="50"/>
    <n v="50"/>
    <n v="15"/>
    <n v="15"/>
    <n v="10"/>
    <n v="40"/>
    <n v="20"/>
    <n v="230"/>
  </r>
  <r>
    <x v="5"/>
    <x v="55"/>
    <n v="5"/>
    <n v="5"/>
    <n v="5"/>
    <n v="0"/>
    <n v="3"/>
    <n v="0"/>
    <n v="3"/>
    <n v="5"/>
    <n v="5"/>
    <n v="31"/>
  </r>
  <r>
    <x v="5"/>
    <x v="56"/>
    <n v="8"/>
    <n v="8"/>
    <m/>
    <m/>
    <m/>
    <m/>
    <m/>
    <m/>
    <m/>
    <n v="16"/>
  </r>
  <r>
    <x v="5"/>
    <x v="57"/>
    <m/>
    <m/>
    <m/>
    <m/>
    <m/>
    <m/>
    <m/>
    <m/>
    <m/>
    <n v="0"/>
  </r>
  <r>
    <x v="5"/>
    <x v="58"/>
    <n v="5"/>
    <n v="1"/>
    <n v="25"/>
    <n v="3"/>
    <n v="2"/>
    <n v="5"/>
    <m/>
    <n v="21"/>
    <n v="4"/>
    <n v="66"/>
  </r>
  <r>
    <x v="5"/>
    <x v="59"/>
    <n v="40"/>
    <m/>
    <m/>
    <m/>
    <m/>
    <m/>
    <m/>
    <n v="40"/>
    <m/>
    <n v="80"/>
  </r>
  <r>
    <x v="5"/>
    <x v="60"/>
    <n v="2"/>
    <n v="1"/>
    <n v="3"/>
    <n v="2"/>
    <n v="3"/>
    <n v="1"/>
    <n v="1"/>
    <n v="2"/>
    <n v="1"/>
    <n v="16"/>
  </r>
  <r>
    <x v="5"/>
    <x v="61"/>
    <m/>
    <m/>
    <m/>
    <m/>
    <n v="11"/>
    <n v="5"/>
    <n v="11"/>
    <m/>
    <m/>
    <n v="27"/>
  </r>
  <r>
    <x v="5"/>
    <x v="62"/>
    <m/>
    <m/>
    <n v="10"/>
    <m/>
    <m/>
    <n v="10"/>
    <m/>
    <m/>
    <m/>
    <n v="20"/>
  </r>
  <r>
    <x v="5"/>
    <x v="63"/>
    <m/>
    <m/>
    <m/>
    <m/>
    <n v="1"/>
    <m/>
    <m/>
    <m/>
    <n v="1"/>
    <n v="2"/>
  </r>
  <r>
    <x v="5"/>
    <x v="64"/>
    <n v="2"/>
    <m/>
    <n v="2"/>
    <n v="2"/>
    <n v="2"/>
    <m/>
    <m/>
    <n v="2"/>
    <m/>
    <n v="10"/>
  </r>
  <r>
    <x v="5"/>
    <x v="65"/>
    <n v="10"/>
    <m/>
    <n v="10"/>
    <n v="10"/>
    <n v="10"/>
    <m/>
    <m/>
    <n v="10"/>
    <m/>
    <n v="50"/>
  </r>
  <r>
    <x v="5"/>
    <x v="66"/>
    <n v="2"/>
    <m/>
    <n v="2"/>
    <n v="2"/>
    <n v="2"/>
    <m/>
    <m/>
    <n v="2"/>
    <m/>
    <n v="10"/>
  </r>
  <r>
    <x v="6"/>
    <x v="0"/>
    <m/>
    <m/>
    <n v="2"/>
    <n v="0"/>
    <m/>
    <m/>
    <m/>
    <m/>
    <m/>
    <n v="2"/>
  </r>
  <r>
    <x v="6"/>
    <x v="1"/>
    <m/>
    <m/>
    <n v="2"/>
    <n v="2"/>
    <m/>
    <m/>
    <m/>
    <m/>
    <m/>
    <n v="4"/>
  </r>
  <r>
    <x v="6"/>
    <x v="2"/>
    <m/>
    <m/>
    <n v="12"/>
    <n v="5"/>
    <m/>
    <m/>
    <m/>
    <m/>
    <m/>
    <n v="17"/>
  </r>
  <r>
    <x v="6"/>
    <x v="3"/>
    <m/>
    <m/>
    <n v="1"/>
    <n v="2"/>
    <m/>
    <m/>
    <m/>
    <m/>
    <m/>
    <n v="3"/>
  </r>
  <r>
    <x v="6"/>
    <x v="4"/>
    <m/>
    <m/>
    <n v="7"/>
    <n v="2"/>
    <m/>
    <m/>
    <m/>
    <m/>
    <m/>
    <n v="9"/>
  </r>
  <r>
    <x v="6"/>
    <x v="5"/>
    <m/>
    <m/>
    <m/>
    <m/>
    <m/>
    <m/>
    <m/>
    <m/>
    <m/>
    <n v="0"/>
  </r>
  <r>
    <x v="6"/>
    <x v="67"/>
    <m/>
    <m/>
    <n v="2"/>
    <n v="0"/>
    <m/>
    <m/>
    <m/>
    <m/>
    <m/>
    <n v="2"/>
  </r>
  <r>
    <x v="6"/>
    <x v="6"/>
    <m/>
    <m/>
    <m/>
    <m/>
    <m/>
    <m/>
    <m/>
    <m/>
    <m/>
    <n v="0"/>
  </r>
  <r>
    <x v="6"/>
    <x v="68"/>
    <m/>
    <m/>
    <n v="2"/>
    <n v="8"/>
    <m/>
    <m/>
    <m/>
    <m/>
    <m/>
    <n v="10"/>
  </r>
  <r>
    <x v="6"/>
    <x v="7"/>
    <m/>
    <m/>
    <m/>
    <m/>
    <m/>
    <m/>
    <m/>
    <m/>
    <m/>
    <n v="0"/>
  </r>
  <r>
    <x v="6"/>
    <x v="8"/>
    <m/>
    <m/>
    <n v="9"/>
    <n v="0"/>
    <m/>
    <m/>
    <m/>
    <m/>
    <m/>
    <n v="9"/>
  </r>
  <r>
    <x v="6"/>
    <x v="9"/>
    <m/>
    <m/>
    <n v="0"/>
    <n v="3"/>
    <m/>
    <m/>
    <m/>
    <m/>
    <m/>
    <n v="3"/>
  </r>
  <r>
    <x v="6"/>
    <x v="10"/>
    <m/>
    <m/>
    <m/>
    <m/>
    <m/>
    <m/>
    <m/>
    <m/>
    <m/>
    <n v="0"/>
  </r>
  <r>
    <x v="6"/>
    <x v="69"/>
    <m/>
    <m/>
    <n v="1"/>
    <n v="1"/>
    <m/>
    <m/>
    <m/>
    <m/>
    <m/>
    <n v="2"/>
  </r>
  <r>
    <x v="6"/>
    <x v="11"/>
    <m/>
    <m/>
    <n v="2"/>
    <n v="2"/>
    <m/>
    <m/>
    <m/>
    <m/>
    <m/>
    <n v="4"/>
  </r>
  <r>
    <x v="6"/>
    <x v="70"/>
    <m/>
    <m/>
    <n v="2"/>
    <n v="0"/>
    <m/>
    <m/>
    <m/>
    <m/>
    <m/>
    <n v="2"/>
  </r>
  <r>
    <x v="6"/>
    <x v="12"/>
    <m/>
    <m/>
    <n v="3"/>
    <n v="0"/>
    <m/>
    <m/>
    <m/>
    <m/>
    <m/>
    <n v="3"/>
  </r>
  <r>
    <x v="6"/>
    <x v="13"/>
    <m/>
    <m/>
    <n v="3"/>
    <n v="0"/>
    <m/>
    <m/>
    <m/>
    <m/>
    <m/>
    <n v="3"/>
  </r>
  <r>
    <x v="6"/>
    <x v="71"/>
    <m/>
    <m/>
    <n v="3"/>
    <n v="3"/>
    <m/>
    <m/>
    <m/>
    <m/>
    <m/>
    <n v="6"/>
  </r>
  <r>
    <x v="6"/>
    <x v="14"/>
    <m/>
    <m/>
    <m/>
    <m/>
    <m/>
    <m/>
    <m/>
    <m/>
    <m/>
    <n v="0"/>
  </r>
  <r>
    <x v="6"/>
    <x v="15"/>
    <m/>
    <m/>
    <n v="2"/>
    <n v="0"/>
    <m/>
    <m/>
    <m/>
    <m/>
    <m/>
    <n v="2"/>
  </r>
  <r>
    <x v="6"/>
    <x v="16"/>
    <m/>
    <m/>
    <n v="1"/>
    <n v="4"/>
    <m/>
    <m/>
    <m/>
    <m/>
    <m/>
    <n v="5"/>
  </r>
  <r>
    <x v="6"/>
    <x v="17"/>
    <m/>
    <m/>
    <n v="0"/>
    <n v="4"/>
    <m/>
    <m/>
    <m/>
    <m/>
    <m/>
    <n v="4"/>
  </r>
  <r>
    <x v="6"/>
    <x v="18"/>
    <m/>
    <m/>
    <m/>
    <m/>
    <m/>
    <m/>
    <m/>
    <m/>
    <m/>
    <n v="0"/>
  </r>
  <r>
    <x v="6"/>
    <x v="19"/>
    <m/>
    <m/>
    <m/>
    <m/>
    <m/>
    <m/>
    <m/>
    <m/>
    <m/>
    <n v="0"/>
  </r>
  <r>
    <x v="6"/>
    <x v="20"/>
    <m/>
    <m/>
    <n v="3"/>
    <n v="5"/>
    <m/>
    <m/>
    <m/>
    <m/>
    <m/>
    <n v="8"/>
  </r>
  <r>
    <x v="6"/>
    <x v="21"/>
    <m/>
    <m/>
    <n v="3"/>
    <n v="0"/>
    <m/>
    <m/>
    <m/>
    <m/>
    <m/>
    <n v="3"/>
  </r>
  <r>
    <x v="6"/>
    <x v="72"/>
    <m/>
    <m/>
    <n v="1"/>
    <n v="2"/>
    <m/>
    <m/>
    <m/>
    <m/>
    <m/>
    <n v="3"/>
  </r>
  <r>
    <x v="6"/>
    <x v="22"/>
    <m/>
    <m/>
    <m/>
    <m/>
    <m/>
    <m/>
    <m/>
    <m/>
    <m/>
    <n v="0"/>
  </r>
  <r>
    <x v="6"/>
    <x v="23"/>
    <m/>
    <m/>
    <n v="0"/>
    <n v="2"/>
    <m/>
    <m/>
    <m/>
    <m/>
    <m/>
    <n v="2"/>
  </r>
  <r>
    <x v="6"/>
    <x v="24"/>
    <m/>
    <m/>
    <n v="0"/>
    <n v="2"/>
    <m/>
    <m/>
    <m/>
    <m/>
    <m/>
    <n v="2"/>
  </r>
  <r>
    <x v="6"/>
    <x v="25"/>
    <m/>
    <m/>
    <n v="4"/>
    <n v="0"/>
    <m/>
    <m/>
    <m/>
    <m/>
    <m/>
    <n v="4"/>
  </r>
  <r>
    <x v="6"/>
    <x v="26"/>
    <m/>
    <m/>
    <n v="1"/>
    <n v="9"/>
    <m/>
    <m/>
    <m/>
    <m/>
    <m/>
    <n v="10"/>
  </r>
  <r>
    <x v="6"/>
    <x v="73"/>
    <m/>
    <m/>
    <m/>
    <m/>
    <m/>
    <m/>
    <m/>
    <m/>
    <m/>
    <n v="0"/>
  </r>
  <r>
    <x v="6"/>
    <x v="27"/>
    <m/>
    <m/>
    <m/>
    <m/>
    <m/>
    <m/>
    <m/>
    <m/>
    <m/>
    <n v="0"/>
  </r>
  <r>
    <x v="6"/>
    <x v="74"/>
    <m/>
    <m/>
    <n v="2"/>
    <n v="0"/>
    <m/>
    <m/>
    <m/>
    <m/>
    <m/>
    <n v="2"/>
  </r>
  <r>
    <x v="6"/>
    <x v="28"/>
    <m/>
    <m/>
    <n v="2"/>
    <n v="2"/>
    <m/>
    <m/>
    <m/>
    <m/>
    <m/>
    <n v="4"/>
  </r>
  <r>
    <x v="6"/>
    <x v="29"/>
    <m/>
    <m/>
    <n v="3"/>
    <n v="0"/>
    <m/>
    <m/>
    <m/>
    <m/>
    <m/>
    <n v="3"/>
  </r>
  <r>
    <x v="6"/>
    <x v="75"/>
    <m/>
    <m/>
    <n v="3"/>
    <n v="0"/>
    <m/>
    <m/>
    <m/>
    <m/>
    <m/>
    <n v="3"/>
  </r>
  <r>
    <x v="6"/>
    <x v="30"/>
    <m/>
    <m/>
    <n v="4"/>
    <n v="0"/>
    <m/>
    <m/>
    <m/>
    <m/>
    <m/>
    <n v="4"/>
  </r>
  <r>
    <x v="6"/>
    <x v="31"/>
    <m/>
    <m/>
    <n v="6"/>
    <n v="7"/>
    <m/>
    <m/>
    <m/>
    <m/>
    <m/>
    <n v="13"/>
  </r>
  <r>
    <x v="6"/>
    <x v="32"/>
    <m/>
    <m/>
    <m/>
    <m/>
    <m/>
    <m/>
    <m/>
    <m/>
    <m/>
    <n v="0"/>
  </r>
  <r>
    <x v="6"/>
    <x v="33"/>
    <m/>
    <m/>
    <n v="0"/>
    <n v="3"/>
    <m/>
    <m/>
    <m/>
    <m/>
    <m/>
    <n v="3"/>
  </r>
  <r>
    <x v="6"/>
    <x v="34"/>
    <m/>
    <m/>
    <n v="3"/>
    <n v="4"/>
    <m/>
    <m/>
    <m/>
    <m/>
    <m/>
    <n v="7"/>
  </r>
  <r>
    <x v="6"/>
    <x v="35"/>
    <m/>
    <m/>
    <n v="2"/>
    <n v="10"/>
    <m/>
    <m/>
    <m/>
    <m/>
    <m/>
    <n v="12"/>
  </r>
  <r>
    <x v="6"/>
    <x v="36"/>
    <m/>
    <m/>
    <n v="1"/>
    <n v="4"/>
    <m/>
    <m/>
    <m/>
    <m/>
    <m/>
    <n v="5"/>
  </r>
  <r>
    <x v="6"/>
    <x v="37"/>
    <m/>
    <m/>
    <m/>
    <m/>
    <m/>
    <m/>
    <m/>
    <m/>
    <m/>
    <n v="0"/>
  </r>
  <r>
    <x v="6"/>
    <x v="38"/>
    <m/>
    <m/>
    <m/>
    <m/>
    <m/>
    <m/>
    <m/>
    <m/>
    <m/>
    <n v="0"/>
  </r>
  <r>
    <x v="6"/>
    <x v="39"/>
    <m/>
    <m/>
    <m/>
    <m/>
    <m/>
    <m/>
    <m/>
    <m/>
    <m/>
    <n v="0"/>
  </r>
  <r>
    <x v="6"/>
    <x v="76"/>
    <m/>
    <m/>
    <n v="2"/>
    <n v="0"/>
    <m/>
    <m/>
    <m/>
    <m/>
    <m/>
    <n v="2"/>
  </r>
  <r>
    <x v="6"/>
    <x v="40"/>
    <m/>
    <m/>
    <n v="7"/>
    <n v="1"/>
    <m/>
    <m/>
    <m/>
    <m/>
    <m/>
    <n v="8"/>
  </r>
  <r>
    <x v="6"/>
    <x v="41"/>
    <m/>
    <m/>
    <m/>
    <m/>
    <m/>
    <m/>
    <m/>
    <m/>
    <m/>
    <n v="0"/>
  </r>
  <r>
    <x v="6"/>
    <x v="42"/>
    <m/>
    <m/>
    <n v="21"/>
    <n v="0"/>
    <m/>
    <m/>
    <m/>
    <m/>
    <m/>
    <n v="21"/>
  </r>
  <r>
    <x v="6"/>
    <x v="43"/>
    <m/>
    <m/>
    <n v="13"/>
    <n v="1"/>
    <m/>
    <m/>
    <m/>
    <m/>
    <m/>
    <n v="14"/>
  </r>
  <r>
    <x v="6"/>
    <x v="44"/>
    <m/>
    <m/>
    <m/>
    <m/>
    <m/>
    <m/>
    <m/>
    <m/>
    <m/>
    <n v="0"/>
  </r>
  <r>
    <x v="6"/>
    <x v="45"/>
    <m/>
    <m/>
    <n v="7"/>
    <n v="5"/>
    <m/>
    <m/>
    <m/>
    <m/>
    <m/>
    <n v="12"/>
  </r>
  <r>
    <x v="6"/>
    <x v="77"/>
    <m/>
    <m/>
    <n v="2"/>
    <n v="0"/>
    <m/>
    <m/>
    <m/>
    <m/>
    <m/>
    <n v="2"/>
  </r>
  <r>
    <x v="6"/>
    <x v="46"/>
    <m/>
    <m/>
    <n v="0"/>
    <n v="2"/>
    <m/>
    <m/>
    <m/>
    <m/>
    <m/>
    <n v="2"/>
  </r>
  <r>
    <x v="6"/>
    <x v="47"/>
    <m/>
    <m/>
    <n v="5"/>
    <n v="0"/>
    <m/>
    <m/>
    <m/>
    <m/>
    <m/>
    <n v="5"/>
  </r>
  <r>
    <x v="6"/>
    <x v="48"/>
    <m/>
    <m/>
    <n v="0"/>
    <n v="3"/>
    <m/>
    <m/>
    <m/>
    <m/>
    <m/>
    <n v="3"/>
  </r>
  <r>
    <x v="6"/>
    <x v="49"/>
    <m/>
    <m/>
    <m/>
    <m/>
    <m/>
    <m/>
    <m/>
    <m/>
    <m/>
    <n v="0"/>
  </r>
  <r>
    <x v="6"/>
    <x v="50"/>
    <m/>
    <m/>
    <n v="5"/>
    <n v="0"/>
    <m/>
    <m/>
    <m/>
    <m/>
    <m/>
    <n v="5"/>
  </r>
  <r>
    <x v="6"/>
    <x v="51"/>
    <m/>
    <m/>
    <n v="17"/>
    <n v="8"/>
    <m/>
    <m/>
    <m/>
    <m/>
    <m/>
    <n v="25"/>
  </r>
  <r>
    <x v="7"/>
    <x v="0"/>
    <n v="30"/>
    <m/>
    <n v="25"/>
    <m/>
    <m/>
    <m/>
    <m/>
    <n v="30"/>
    <m/>
    <n v="85"/>
  </r>
  <r>
    <x v="7"/>
    <x v="1"/>
    <n v="20"/>
    <n v="20"/>
    <n v="20"/>
    <n v="20"/>
    <n v="20"/>
    <n v="20"/>
    <n v="20"/>
    <n v="20"/>
    <n v="30"/>
    <n v="190"/>
  </r>
  <r>
    <x v="7"/>
    <x v="2"/>
    <m/>
    <m/>
    <n v="30"/>
    <n v="25"/>
    <m/>
    <m/>
    <m/>
    <m/>
    <n v="2"/>
    <n v="57"/>
  </r>
  <r>
    <x v="7"/>
    <x v="3"/>
    <n v="20"/>
    <n v="30"/>
    <n v="30"/>
    <n v="30"/>
    <n v="30"/>
    <n v="30"/>
    <n v="30"/>
    <n v="30"/>
    <m/>
    <n v="230"/>
  </r>
  <r>
    <x v="7"/>
    <x v="4"/>
    <m/>
    <m/>
    <n v="30"/>
    <n v="30"/>
    <n v="30"/>
    <m/>
    <m/>
    <n v="30"/>
    <n v="2"/>
    <n v="122"/>
  </r>
  <r>
    <x v="7"/>
    <x v="5"/>
    <n v="30"/>
    <m/>
    <n v="30"/>
    <n v="30"/>
    <n v="30"/>
    <n v="30"/>
    <n v="20"/>
    <n v="30"/>
    <n v="20"/>
    <n v="220"/>
  </r>
  <r>
    <x v="7"/>
    <x v="6"/>
    <m/>
    <m/>
    <n v="15"/>
    <n v="15"/>
    <n v="15"/>
    <n v="15"/>
    <m/>
    <n v="15"/>
    <n v="10"/>
    <n v="85"/>
  </r>
  <r>
    <x v="7"/>
    <x v="7"/>
    <m/>
    <n v="30"/>
    <n v="25"/>
    <n v="30"/>
    <m/>
    <n v="30"/>
    <m/>
    <n v="30"/>
    <n v="1"/>
    <n v="146"/>
  </r>
  <r>
    <x v="7"/>
    <x v="8"/>
    <n v="30"/>
    <n v="30"/>
    <n v="30"/>
    <n v="30"/>
    <n v="25"/>
    <n v="25"/>
    <n v="25"/>
    <n v="25"/>
    <n v="15"/>
    <n v="235"/>
  </r>
  <r>
    <x v="7"/>
    <x v="9"/>
    <m/>
    <m/>
    <m/>
    <n v="25"/>
    <m/>
    <m/>
    <m/>
    <m/>
    <n v="2"/>
    <n v="27"/>
  </r>
  <r>
    <x v="7"/>
    <x v="10"/>
    <m/>
    <m/>
    <n v="25"/>
    <n v="30"/>
    <m/>
    <n v="30"/>
    <m/>
    <n v="30"/>
    <n v="1"/>
    <n v="116"/>
  </r>
  <r>
    <x v="7"/>
    <x v="11"/>
    <n v="30"/>
    <m/>
    <n v="30"/>
    <n v="30"/>
    <n v="30"/>
    <n v="30"/>
    <n v="30"/>
    <n v="30"/>
    <n v="30"/>
    <n v="240"/>
  </r>
  <r>
    <x v="7"/>
    <x v="12"/>
    <n v="5"/>
    <m/>
    <n v="5"/>
    <m/>
    <m/>
    <n v="5"/>
    <n v="5"/>
    <m/>
    <m/>
    <n v="20"/>
  </r>
  <r>
    <x v="7"/>
    <x v="13"/>
    <m/>
    <m/>
    <n v="20"/>
    <m/>
    <n v="20"/>
    <m/>
    <n v="20"/>
    <n v="20"/>
    <n v="10"/>
    <n v="90"/>
  </r>
  <r>
    <x v="7"/>
    <x v="14"/>
    <m/>
    <n v="30"/>
    <n v="25"/>
    <n v="30"/>
    <m/>
    <n v="30"/>
    <m/>
    <n v="30"/>
    <m/>
    <n v="145"/>
  </r>
  <r>
    <x v="7"/>
    <x v="15"/>
    <n v="30"/>
    <n v="30"/>
    <n v="30"/>
    <n v="30"/>
    <n v="30"/>
    <n v="30"/>
    <n v="30"/>
    <n v="30"/>
    <n v="30"/>
    <n v="270"/>
  </r>
  <r>
    <x v="7"/>
    <x v="16"/>
    <n v="30"/>
    <m/>
    <m/>
    <m/>
    <m/>
    <m/>
    <m/>
    <m/>
    <m/>
    <n v="30"/>
  </r>
  <r>
    <x v="7"/>
    <x v="17"/>
    <m/>
    <m/>
    <m/>
    <n v="25"/>
    <n v="30"/>
    <m/>
    <n v="30"/>
    <m/>
    <n v="1"/>
    <n v="86"/>
  </r>
  <r>
    <x v="7"/>
    <x v="18"/>
    <m/>
    <n v="30"/>
    <m/>
    <m/>
    <m/>
    <n v="30"/>
    <m/>
    <n v="30"/>
    <m/>
    <n v="90"/>
  </r>
  <r>
    <x v="7"/>
    <x v="19"/>
    <m/>
    <n v="20"/>
    <m/>
    <n v="20"/>
    <m/>
    <m/>
    <m/>
    <m/>
    <m/>
    <n v="40"/>
  </r>
  <r>
    <x v="7"/>
    <x v="20"/>
    <m/>
    <m/>
    <m/>
    <m/>
    <m/>
    <m/>
    <m/>
    <m/>
    <n v="3"/>
    <n v="3"/>
  </r>
  <r>
    <x v="7"/>
    <x v="21"/>
    <m/>
    <n v="15"/>
    <m/>
    <m/>
    <n v="2"/>
    <n v="2"/>
    <n v="2"/>
    <n v="14"/>
    <m/>
    <n v="35"/>
  </r>
  <r>
    <x v="7"/>
    <x v="22"/>
    <m/>
    <m/>
    <m/>
    <m/>
    <n v="1"/>
    <n v="3"/>
    <n v="1"/>
    <n v="3"/>
    <m/>
    <n v="8"/>
  </r>
  <r>
    <x v="7"/>
    <x v="23"/>
    <n v="30"/>
    <m/>
    <m/>
    <m/>
    <m/>
    <m/>
    <m/>
    <m/>
    <m/>
    <n v="30"/>
  </r>
  <r>
    <x v="7"/>
    <x v="24"/>
    <m/>
    <m/>
    <m/>
    <m/>
    <m/>
    <m/>
    <m/>
    <m/>
    <m/>
    <n v="0"/>
  </r>
  <r>
    <x v="7"/>
    <x v="25"/>
    <n v="10"/>
    <m/>
    <n v="10"/>
    <n v="5"/>
    <n v="10"/>
    <n v="15"/>
    <n v="15"/>
    <n v="15"/>
    <n v="5"/>
    <n v="85"/>
  </r>
  <r>
    <x v="7"/>
    <x v="26"/>
    <n v="30"/>
    <m/>
    <m/>
    <m/>
    <n v="30"/>
    <m/>
    <n v="30"/>
    <m/>
    <n v="1"/>
    <n v="91"/>
  </r>
  <r>
    <x v="7"/>
    <x v="27"/>
    <m/>
    <m/>
    <m/>
    <m/>
    <m/>
    <m/>
    <m/>
    <m/>
    <m/>
    <n v="0"/>
  </r>
  <r>
    <x v="7"/>
    <x v="28"/>
    <m/>
    <n v="15"/>
    <n v="30"/>
    <n v="30"/>
    <m/>
    <m/>
    <m/>
    <m/>
    <n v="1"/>
    <n v="76"/>
  </r>
  <r>
    <x v="7"/>
    <x v="29"/>
    <n v="30"/>
    <m/>
    <n v="25"/>
    <n v="30"/>
    <m/>
    <n v="30"/>
    <m/>
    <n v="30"/>
    <n v="2"/>
    <n v="147"/>
  </r>
  <r>
    <x v="7"/>
    <x v="30"/>
    <m/>
    <n v="30"/>
    <n v="25"/>
    <n v="30"/>
    <m/>
    <n v="30"/>
    <m/>
    <n v="30"/>
    <m/>
    <n v="145"/>
  </r>
  <r>
    <x v="7"/>
    <x v="31"/>
    <m/>
    <n v="30"/>
    <n v="30"/>
    <n v="30"/>
    <n v="4"/>
    <n v="30"/>
    <n v="4"/>
    <n v="30"/>
    <n v="19"/>
    <n v="177"/>
  </r>
  <r>
    <x v="7"/>
    <x v="32"/>
    <n v="30"/>
    <m/>
    <n v="30"/>
    <n v="30"/>
    <n v="30"/>
    <n v="30"/>
    <n v="30"/>
    <n v="30"/>
    <n v="30"/>
    <n v="240"/>
  </r>
  <r>
    <x v="7"/>
    <x v="33"/>
    <m/>
    <n v="20"/>
    <m/>
    <m/>
    <m/>
    <m/>
    <m/>
    <m/>
    <m/>
    <n v="20"/>
  </r>
  <r>
    <x v="7"/>
    <x v="34"/>
    <m/>
    <n v="30"/>
    <n v="25"/>
    <n v="30"/>
    <m/>
    <n v="30"/>
    <m/>
    <n v="30"/>
    <n v="10"/>
    <n v="155"/>
  </r>
  <r>
    <x v="7"/>
    <x v="35"/>
    <n v="30"/>
    <m/>
    <n v="30"/>
    <n v="30"/>
    <n v="30"/>
    <n v="30"/>
    <n v="30"/>
    <n v="30"/>
    <n v="30"/>
    <n v="240"/>
  </r>
  <r>
    <x v="7"/>
    <x v="36"/>
    <m/>
    <n v="20"/>
    <m/>
    <m/>
    <m/>
    <m/>
    <m/>
    <m/>
    <m/>
    <n v="20"/>
  </r>
  <r>
    <x v="7"/>
    <x v="37"/>
    <m/>
    <m/>
    <m/>
    <m/>
    <m/>
    <m/>
    <m/>
    <m/>
    <m/>
    <n v="0"/>
  </r>
  <r>
    <x v="7"/>
    <x v="38"/>
    <n v="10"/>
    <m/>
    <n v="10"/>
    <n v="10"/>
    <n v="15"/>
    <n v="10"/>
    <n v="10"/>
    <n v="15"/>
    <n v="3"/>
    <n v="83"/>
  </r>
  <r>
    <x v="7"/>
    <x v="39"/>
    <n v="30"/>
    <m/>
    <n v="28"/>
    <n v="30"/>
    <n v="5"/>
    <n v="30"/>
    <n v="30"/>
    <n v="30"/>
    <n v="1"/>
    <n v="184"/>
  </r>
  <r>
    <x v="7"/>
    <x v="40"/>
    <n v="30"/>
    <m/>
    <n v="30"/>
    <n v="30"/>
    <m/>
    <m/>
    <m/>
    <m/>
    <n v="30"/>
    <n v="120"/>
  </r>
  <r>
    <x v="7"/>
    <x v="41"/>
    <m/>
    <m/>
    <m/>
    <m/>
    <m/>
    <m/>
    <m/>
    <m/>
    <m/>
    <n v="0"/>
  </r>
  <r>
    <x v="7"/>
    <x v="42"/>
    <n v="30"/>
    <m/>
    <n v="30"/>
    <n v="25"/>
    <n v="30"/>
    <n v="15"/>
    <n v="20"/>
    <n v="30"/>
    <n v="15"/>
    <n v="195"/>
  </r>
  <r>
    <x v="7"/>
    <x v="43"/>
    <n v="30"/>
    <n v="30"/>
    <n v="25"/>
    <n v="25"/>
    <n v="26"/>
    <n v="20"/>
    <n v="20"/>
    <n v="26"/>
    <n v="10"/>
    <n v="212"/>
  </r>
  <r>
    <x v="7"/>
    <x v="44"/>
    <m/>
    <m/>
    <m/>
    <m/>
    <m/>
    <m/>
    <m/>
    <m/>
    <m/>
    <n v="0"/>
  </r>
  <r>
    <x v="7"/>
    <x v="45"/>
    <m/>
    <m/>
    <n v="30"/>
    <n v="30"/>
    <m/>
    <m/>
    <m/>
    <m/>
    <n v="30"/>
    <n v="90"/>
  </r>
  <r>
    <x v="7"/>
    <x v="46"/>
    <m/>
    <n v="25"/>
    <n v="25"/>
    <n v="25"/>
    <m/>
    <m/>
    <m/>
    <m/>
    <n v="2"/>
    <n v="77"/>
  </r>
  <r>
    <x v="7"/>
    <x v="47"/>
    <m/>
    <m/>
    <m/>
    <m/>
    <m/>
    <m/>
    <m/>
    <m/>
    <m/>
    <n v="0"/>
  </r>
  <r>
    <x v="7"/>
    <x v="48"/>
    <m/>
    <n v="30"/>
    <m/>
    <m/>
    <m/>
    <n v="30"/>
    <m/>
    <n v="30"/>
    <n v="10"/>
    <n v="100"/>
  </r>
  <r>
    <x v="7"/>
    <x v="49"/>
    <m/>
    <m/>
    <m/>
    <m/>
    <m/>
    <m/>
    <m/>
    <m/>
    <n v="10"/>
    <n v="10"/>
  </r>
  <r>
    <x v="7"/>
    <x v="50"/>
    <m/>
    <n v="21"/>
    <m/>
    <n v="21"/>
    <m/>
    <n v="21"/>
    <n v="5"/>
    <n v="25"/>
    <m/>
    <n v="93"/>
  </r>
  <r>
    <x v="7"/>
    <x v="51"/>
    <n v="20"/>
    <n v="20"/>
    <n v="22"/>
    <n v="31"/>
    <n v="24"/>
    <n v="20"/>
    <n v="24"/>
    <n v="20"/>
    <n v="12"/>
    <n v="193"/>
  </r>
  <r>
    <x v="7"/>
    <x v="78"/>
    <m/>
    <n v="20"/>
    <m/>
    <m/>
    <m/>
    <m/>
    <m/>
    <m/>
    <m/>
    <n v="20"/>
  </r>
  <r>
    <x v="7"/>
    <x v="71"/>
    <m/>
    <m/>
    <m/>
    <m/>
    <n v="30"/>
    <m/>
    <n v="30"/>
    <m/>
    <m/>
    <n v="60"/>
  </r>
  <r>
    <x v="7"/>
    <x v="72"/>
    <n v="30"/>
    <m/>
    <m/>
    <m/>
    <n v="30"/>
    <m/>
    <n v="30"/>
    <m/>
    <m/>
    <n v="90"/>
  </r>
  <r>
    <x v="7"/>
    <x v="79"/>
    <m/>
    <m/>
    <m/>
    <n v="25"/>
    <n v="30"/>
    <m/>
    <n v="30"/>
    <m/>
    <m/>
    <n v="85"/>
  </r>
  <r>
    <x v="7"/>
    <x v="80"/>
    <n v="10"/>
    <n v="10"/>
    <n v="5"/>
    <n v="5"/>
    <n v="10"/>
    <n v="10"/>
    <n v="10"/>
    <n v="10"/>
    <n v="5"/>
    <n v="75"/>
  </r>
  <r>
    <x v="7"/>
    <x v="81"/>
    <m/>
    <m/>
    <m/>
    <m/>
    <m/>
    <m/>
    <m/>
    <m/>
    <m/>
    <n v="0"/>
  </r>
  <r>
    <x v="7"/>
    <x v="82"/>
    <m/>
    <n v="30"/>
    <m/>
    <m/>
    <m/>
    <m/>
    <m/>
    <m/>
    <m/>
    <n v="30"/>
  </r>
  <r>
    <x v="7"/>
    <x v="83"/>
    <m/>
    <n v="30"/>
    <m/>
    <m/>
    <m/>
    <m/>
    <m/>
    <m/>
    <m/>
    <n v="30"/>
  </r>
  <r>
    <x v="7"/>
    <x v="84"/>
    <m/>
    <n v="30"/>
    <m/>
    <m/>
    <m/>
    <m/>
    <m/>
    <m/>
    <m/>
    <n v="30"/>
  </r>
  <r>
    <x v="7"/>
    <x v="43"/>
    <m/>
    <n v="30"/>
    <m/>
    <m/>
    <m/>
    <m/>
    <m/>
    <m/>
    <m/>
    <n v="30"/>
  </r>
  <r>
    <x v="7"/>
    <x v="85"/>
    <n v="20"/>
    <n v="20"/>
    <n v="20"/>
    <n v="60"/>
    <n v="20"/>
    <n v="20"/>
    <n v="20"/>
    <n v="20"/>
    <n v="10"/>
    <n v="210"/>
  </r>
  <r>
    <x v="7"/>
    <x v="21"/>
    <m/>
    <n v="15"/>
    <m/>
    <m/>
    <n v="2"/>
    <n v="2"/>
    <n v="2"/>
    <n v="15"/>
    <m/>
    <n v="36"/>
  </r>
  <r>
    <x v="7"/>
    <x v="86"/>
    <m/>
    <m/>
    <m/>
    <m/>
    <m/>
    <m/>
    <m/>
    <n v="30"/>
    <n v="5"/>
    <n v="35"/>
  </r>
  <r>
    <x v="7"/>
    <x v="87"/>
    <m/>
    <n v="30"/>
    <n v="2"/>
    <n v="35"/>
    <n v="2"/>
    <n v="6"/>
    <n v="5"/>
    <n v="5"/>
    <m/>
    <n v="85"/>
  </r>
  <r>
    <x v="7"/>
    <x v="76"/>
    <m/>
    <m/>
    <n v="20"/>
    <n v="15"/>
    <m/>
    <m/>
    <m/>
    <m/>
    <m/>
    <n v="35"/>
  </r>
  <r>
    <x v="7"/>
    <x v="69"/>
    <m/>
    <m/>
    <n v="20"/>
    <n v="15"/>
    <m/>
    <m/>
    <m/>
    <m/>
    <m/>
    <n v="35"/>
  </r>
  <r>
    <x v="7"/>
    <x v="88"/>
    <m/>
    <m/>
    <n v="4"/>
    <m/>
    <m/>
    <m/>
    <m/>
    <m/>
    <n v="3"/>
    <n v="7"/>
  </r>
  <r>
    <x v="8"/>
    <x v="57"/>
    <n v="40"/>
    <m/>
    <m/>
    <m/>
    <m/>
    <m/>
    <m/>
    <m/>
    <m/>
    <n v="40"/>
  </r>
  <r>
    <x v="8"/>
    <x v="59"/>
    <n v="40"/>
    <m/>
    <m/>
    <m/>
    <m/>
    <m/>
    <m/>
    <m/>
    <m/>
    <n v="40"/>
  </r>
  <r>
    <x v="8"/>
    <x v="58"/>
    <n v="40"/>
    <m/>
    <m/>
    <m/>
    <m/>
    <m/>
    <m/>
    <m/>
    <m/>
    <n v="40"/>
  </r>
  <r>
    <x v="8"/>
    <x v="64"/>
    <n v="40"/>
    <m/>
    <m/>
    <m/>
    <m/>
    <m/>
    <m/>
    <m/>
    <m/>
    <n v="40"/>
  </r>
  <r>
    <x v="8"/>
    <x v="54"/>
    <n v="40"/>
    <m/>
    <m/>
    <m/>
    <m/>
    <m/>
    <m/>
    <m/>
    <m/>
    <n v="40"/>
  </r>
  <r>
    <x v="8"/>
    <x v="61"/>
    <n v="40"/>
    <m/>
    <m/>
    <m/>
    <m/>
    <m/>
    <m/>
    <m/>
    <m/>
    <n v="40"/>
  </r>
  <r>
    <x v="8"/>
    <x v="89"/>
    <m/>
    <n v="40"/>
    <m/>
    <m/>
    <m/>
    <m/>
    <m/>
    <m/>
    <m/>
    <n v="40"/>
  </r>
  <r>
    <x v="8"/>
    <x v="90"/>
    <m/>
    <n v="40"/>
    <m/>
    <m/>
    <m/>
    <m/>
    <m/>
    <m/>
    <m/>
    <n v="40"/>
  </r>
  <r>
    <x v="8"/>
    <x v="65"/>
    <m/>
    <n v="40"/>
    <m/>
    <m/>
    <m/>
    <m/>
    <m/>
    <m/>
    <m/>
    <n v="40"/>
  </r>
  <r>
    <x v="8"/>
    <x v="91"/>
    <m/>
    <n v="40"/>
    <m/>
    <m/>
    <m/>
    <m/>
    <m/>
    <m/>
    <m/>
    <n v="40"/>
  </r>
  <r>
    <x v="8"/>
    <x v="92"/>
    <m/>
    <n v="40"/>
    <m/>
    <m/>
    <m/>
    <m/>
    <m/>
    <m/>
    <m/>
    <n v="40"/>
  </r>
  <r>
    <x v="8"/>
    <x v="93"/>
    <m/>
    <n v="40"/>
    <m/>
    <m/>
    <m/>
    <m/>
    <m/>
    <m/>
    <m/>
    <n v="40"/>
  </r>
  <r>
    <x v="8"/>
    <x v="94"/>
    <m/>
    <n v="40"/>
    <m/>
    <m/>
    <m/>
    <m/>
    <m/>
    <m/>
    <m/>
    <n v="40"/>
  </r>
  <r>
    <x v="8"/>
    <x v="54"/>
    <m/>
    <m/>
    <m/>
    <m/>
    <m/>
    <m/>
    <m/>
    <m/>
    <n v="25"/>
    <n v="25"/>
  </r>
  <r>
    <x v="8"/>
    <x v="61"/>
    <m/>
    <m/>
    <m/>
    <m/>
    <m/>
    <m/>
    <m/>
    <m/>
    <n v="25"/>
    <n v="25"/>
  </r>
  <r>
    <x v="8"/>
    <x v="90"/>
    <m/>
    <m/>
    <m/>
    <m/>
    <m/>
    <m/>
    <m/>
    <m/>
    <n v="25"/>
    <n v="25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6">
  <r>
    <x v="0"/>
    <x v="0"/>
    <m/>
    <n v="18"/>
    <n v="69"/>
    <m/>
    <m/>
    <m/>
    <n v="87"/>
  </r>
  <r>
    <x v="0"/>
    <x v="1"/>
    <m/>
    <m/>
    <n v="16"/>
    <m/>
    <m/>
    <m/>
    <n v="16"/>
  </r>
  <r>
    <x v="1"/>
    <x v="0"/>
    <n v="20"/>
    <n v="16"/>
    <n v="14"/>
    <n v="38"/>
    <n v="22"/>
    <n v="42"/>
    <n v="152"/>
  </r>
  <r>
    <x v="1"/>
    <x v="1"/>
    <n v="20"/>
    <n v="14"/>
    <n v="12"/>
    <n v="30"/>
    <n v="16"/>
    <n v="26"/>
    <n v="118"/>
  </r>
  <r>
    <x v="2"/>
    <x v="0"/>
    <m/>
    <m/>
    <m/>
    <m/>
    <m/>
    <m/>
    <n v="0"/>
  </r>
  <r>
    <x v="2"/>
    <x v="1"/>
    <m/>
    <m/>
    <n v="2"/>
    <m/>
    <m/>
    <m/>
    <n v="2"/>
  </r>
  <r>
    <x v="3"/>
    <x v="0"/>
    <n v="0"/>
    <n v="0"/>
    <n v="1"/>
    <n v="2"/>
    <n v="0"/>
    <n v="1"/>
    <n v="4"/>
  </r>
  <r>
    <x v="3"/>
    <x v="1"/>
    <n v="0"/>
    <n v="0"/>
    <n v="2"/>
    <n v="2"/>
    <n v="0"/>
    <n v="1"/>
    <n v="5"/>
  </r>
  <r>
    <x v="4"/>
    <x v="0"/>
    <m/>
    <m/>
    <n v="1"/>
    <m/>
    <m/>
    <m/>
    <n v="1"/>
  </r>
  <r>
    <x v="4"/>
    <x v="1"/>
    <m/>
    <m/>
    <n v="5"/>
    <m/>
    <m/>
    <m/>
    <n v="5"/>
  </r>
  <r>
    <x v="5"/>
    <x v="0"/>
    <m/>
    <m/>
    <m/>
    <n v="8"/>
    <n v="20"/>
    <n v="40"/>
    <n v="68"/>
  </r>
  <r>
    <x v="5"/>
    <x v="1"/>
    <m/>
    <m/>
    <n v="10"/>
    <m/>
    <m/>
    <m/>
    <n v="10"/>
  </r>
  <r>
    <x v="6"/>
    <x v="0"/>
    <m/>
    <m/>
    <m/>
    <m/>
    <m/>
    <m/>
    <n v="0"/>
  </r>
  <r>
    <x v="6"/>
    <x v="1"/>
    <n v="5"/>
    <n v="18"/>
    <n v="56"/>
    <n v="10"/>
    <n v="13"/>
    <n v="4"/>
    <n v="106"/>
  </r>
  <r>
    <x v="7"/>
    <x v="0"/>
    <m/>
    <n v="1"/>
    <n v="1"/>
    <n v="1"/>
    <m/>
    <n v="1"/>
    <n v="4"/>
  </r>
  <r>
    <x v="8"/>
    <x v="2"/>
    <m/>
    <m/>
    <m/>
    <m/>
    <m/>
    <m/>
    <n v="0"/>
  </r>
  <r>
    <x v="7"/>
    <x v="1"/>
    <n v="1"/>
    <n v="2"/>
    <n v="3"/>
    <n v="1"/>
    <n v="1"/>
    <n v="3"/>
    <n v="11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D4" firstHeaderRow="0" firstDataRow="1" firstDataCol="0"/>
  <pivotFields count="3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"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Quotas" fld="17" baseField="0" baseItem="0"/>
    <dataField name="Sum of Graduates" fld="23" baseField="0" baseItem="0"/>
    <dataField name="Sum of Fail" fld="24" baseField="0" baseItem="0"/>
    <dataField name="Sum of No Shows" fld="25" baseField="0" baseItem="0"/>
  </dataFields>
  <formats count="1">
    <format dxfId="224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F306D3-B60B-47D9-B830-6E8B6E9733C3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compact="0" compactData="0" multipleFieldFilters="0">
  <location ref="A3:A34" firstHeaderRow="1" firstDataRow="1" firstDataCol="1"/>
  <pivotFields count="37"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76">
        <item m="1" x="57"/>
        <item m="1" x="36"/>
        <item m="1" x="31"/>
        <item m="1" x="41"/>
        <item m="1" x="35"/>
        <item m="1" x="49"/>
        <item m="1" x="51"/>
        <item m="1" x="42"/>
        <item x="16"/>
        <item m="1" x="61"/>
        <item x="20"/>
        <item x="8"/>
        <item x="6"/>
        <item m="1" x="66"/>
        <item m="1" x="34"/>
        <item m="1" x="33"/>
        <item m="1" x="39"/>
        <item m="1" x="38"/>
        <item x="26"/>
        <item x="0"/>
        <item m="1" x="70"/>
        <item m="1" x="43"/>
        <item x="25"/>
        <item m="1" x="32"/>
        <item x="17"/>
        <item m="1" x="56"/>
        <item m="1" x="53"/>
        <item m="1" x="44"/>
        <item m="1" x="71"/>
        <item x="21"/>
        <item x="9"/>
        <item m="1" x="46"/>
        <item m="1" x="50"/>
        <item x="12"/>
        <item m="1" x="58"/>
        <item m="1" x="72"/>
        <item m="1" x="30"/>
        <item x="7"/>
        <item m="1" x="67"/>
        <item m="1" x="69"/>
        <item m="1" x="64"/>
        <item m="1" x="55"/>
        <item x="29"/>
        <item x="3"/>
        <item x="1"/>
        <item x="28"/>
        <item m="1" x="62"/>
        <item x="22"/>
        <item m="1" x="48"/>
        <item m="1" x="45"/>
        <item x="11"/>
        <item x="2"/>
        <item m="1" x="52"/>
        <item m="1" x="73"/>
        <item x="10"/>
        <item m="1" x="68"/>
        <item m="1" x="37"/>
        <item m="1" x="65"/>
        <item x="5"/>
        <item m="1" x="47"/>
        <item m="1" x="59"/>
        <item m="1" x="74"/>
        <item m="1" x="60"/>
        <item m="1" x="54"/>
        <item m="1" x="40"/>
        <item x="27"/>
        <item x="13"/>
        <item x="15"/>
        <item m="1" x="63"/>
        <item x="19"/>
        <item x="18"/>
        <item x="23"/>
        <item x="24"/>
        <item x="4"/>
        <item x="14"/>
        <item t="default"/>
      </items>
    </pivotField>
    <pivotField compact="0" numFmtId="14" outline="0" showAll="0"/>
    <pivotField compact="0" numFmtId="1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4"/>
  </rowFields>
  <rowItems count="31">
    <i>
      <x v="8"/>
    </i>
    <i>
      <x v="10"/>
    </i>
    <i>
      <x v="11"/>
    </i>
    <i>
      <x v="12"/>
    </i>
    <i>
      <x v="18"/>
    </i>
    <i>
      <x v="19"/>
    </i>
    <i>
      <x v="22"/>
    </i>
    <i>
      <x v="24"/>
    </i>
    <i>
      <x v="29"/>
    </i>
    <i>
      <x v="30"/>
    </i>
    <i>
      <x v="33"/>
    </i>
    <i>
      <x v="37"/>
    </i>
    <i>
      <x v="42"/>
    </i>
    <i>
      <x v="43"/>
    </i>
    <i>
      <x v="44"/>
    </i>
    <i>
      <x v="45"/>
    </i>
    <i>
      <x v="47"/>
    </i>
    <i>
      <x v="50"/>
    </i>
    <i>
      <x v="51"/>
    </i>
    <i>
      <x v="54"/>
    </i>
    <i>
      <x v="58"/>
    </i>
    <i>
      <x v="65"/>
    </i>
    <i>
      <x v="66"/>
    </i>
    <i>
      <x v="67"/>
    </i>
    <i>
      <x v="69"/>
    </i>
    <i>
      <x v="70"/>
    </i>
    <i>
      <x v="71"/>
    </i>
    <i>
      <x v="72"/>
    </i>
    <i>
      <x v="73"/>
    </i>
    <i>
      <x v="7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7837C9-BFA1-4987-A836-1A6C413DB730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C19" firstHeaderRow="0" firstDataRow="1" firstDataCol="1" rowPageCount="1" colPageCount="1"/>
  <pivotFields count="37">
    <pivotField showAll="0"/>
    <pivotField axis="axisPage" showAl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1"/>
        <item x="30"/>
        <item x="32"/>
        <item t="default"/>
      </items>
    </pivotField>
    <pivotField showAll="0"/>
    <pivotField showAll="0"/>
    <pivotField axis="axisRow" showAll="0">
      <items count="76">
        <item m="1" x="57"/>
        <item m="1" x="36"/>
        <item m="1" x="31"/>
        <item m="1" x="41"/>
        <item m="1" x="35"/>
        <item m="1" x="49"/>
        <item m="1" x="51"/>
        <item m="1" x="42"/>
        <item x="16"/>
        <item m="1" x="61"/>
        <item x="20"/>
        <item x="8"/>
        <item x="6"/>
        <item m="1" x="66"/>
        <item m="1" x="34"/>
        <item m="1" x="33"/>
        <item m="1" x="39"/>
        <item m="1" x="38"/>
        <item x="26"/>
        <item x="0"/>
        <item m="1" x="70"/>
        <item m="1" x="43"/>
        <item x="25"/>
        <item m="1" x="32"/>
        <item x="17"/>
        <item m="1" x="56"/>
        <item m="1" x="53"/>
        <item x="18"/>
        <item m="1" x="44"/>
        <item m="1" x="71"/>
        <item x="21"/>
        <item x="9"/>
        <item m="1" x="46"/>
        <item m="1" x="50"/>
        <item x="12"/>
        <item m="1" x="58"/>
        <item m="1" x="72"/>
        <item m="1" x="30"/>
        <item x="7"/>
        <item x="23"/>
        <item x="24"/>
        <item m="1" x="67"/>
        <item m="1" x="69"/>
        <item m="1" x="64"/>
        <item m="1" x="55"/>
        <item x="29"/>
        <item x="3"/>
        <item x="1"/>
        <item x="4"/>
        <item x="28"/>
        <item m="1" x="62"/>
        <item x="22"/>
        <item m="1" x="48"/>
        <item m="1" x="45"/>
        <item x="11"/>
        <item x="2"/>
        <item m="1" x="52"/>
        <item m="1" x="73"/>
        <item x="10"/>
        <item m="1" x="68"/>
        <item m="1" x="37"/>
        <item m="1" x="65"/>
        <item x="5"/>
        <item m="1" x="47"/>
        <item m="1" x="59"/>
        <item x="14"/>
        <item m="1" x="74"/>
        <item m="1" x="60"/>
        <item m="1" x="54"/>
        <item m="1" x="40"/>
        <item x="27"/>
        <item x="13"/>
        <item x="15"/>
        <item m="1" x="63"/>
        <item x="19"/>
        <item t="default"/>
      </items>
    </pivotField>
    <pivotField numFmtId="14"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numFmtI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16">
    <i>
      <x v="11"/>
    </i>
    <i>
      <x v="12"/>
    </i>
    <i>
      <x v="31"/>
    </i>
    <i>
      <x v="34"/>
    </i>
    <i>
      <x v="38"/>
    </i>
    <i>
      <x v="46"/>
    </i>
    <i>
      <x v="47"/>
    </i>
    <i>
      <x v="48"/>
    </i>
    <i>
      <x v="54"/>
    </i>
    <i>
      <x v="55"/>
    </i>
    <i>
      <x v="58"/>
    </i>
    <i>
      <x v="62"/>
    </i>
    <i>
      <x v="65"/>
    </i>
    <i>
      <x v="71"/>
    </i>
    <i>
      <x v="72"/>
    </i>
    <i t="grand">
      <x/>
    </i>
  </rowItems>
  <colFields count="1">
    <field x="-2"/>
  </colFields>
  <colItems count="2">
    <i>
      <x/>
    </i>
    <i i="1">
      <x v="1"/>
    </i>
  </colItems>
  <pageFields count="1">
    <pageField fld="1" item="9" hier="-1"/>
  </pageFields>
  <dataFields count="2">
    <dataField name="Total Planned Quotas in location" fld="17" baseField="0" baseItem="0"/>
    <dataField name="FY26 Quota Need" fld="20" subtotal="min" baseField="4" baseItem="4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DC9CC7-1F7D-4FE3-9828-4B7E37668A90}" name="PivotTable1" cacheId="0" dataOnRows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J20" firstHeaderRow="1" firstDataRow="2" firstDataCol="1" rowPageCount="1" colPageCount="1"/>
  <pivotFields count="19">
    <pivotField axis="axisPage" showAll="0">
      <items count="57">
        <item x="0"/>
        <item x="2"/>
        <item x="18"/>
        <item x="19"/>
        <item x="8"/>
        <item x="11"/>
        <item x="21"/>
        <item x="23"/>
        <item x="6"/>
        <item x="20"/>
        <item x="22"/>
        <item x="7"/>
        <item x="15"/>
        <item x="17"/>
        <item x="9"/>
        <item x="10"/>
        <item x="4"/>
        <item x="12"/>
        <item x="13"/>
        <item x="14"/>
        <item x="16"/>
        <item x="5"/>
        <item x="1"/>
        <item x="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t="default"/>
      </items>
    </pivotField>
    <pivotField axis="axisCol" showAll="0" sortType="ascending">
      <items count="87">
        <item x="62"/>
        <item x="0"/>
        <item x="1"/>
        <item x="2"/>
        <item x="3"/>
        <item x="4"/>
        <item x="5"/>
        <item x="73"/>
        <item x="72"/>
        <item x="63"/>
        <item x="55"/>
        <item x="83"/>
        <item x="6"/>
        <item x="7"/>
        <item x="8"/>
        <item x="9"/>
        <item x="10"/>
        <item x="82"/>
        <item x="11"/>
        <item x="85"/>
        <item x="12"/>
        <item x="13"/>
        <item x="56"/>
        <item x="14"/>
        <item x="76"/>
        <item x="15"/>
        <item x="16"/>
        <item x="17"/>
        <item x="18"/>
        <item x="19"/>
        <item x="20"/>
        <item x="21"/>
        <item x="57"/>
        <item x="22"/>
        <item x="23"/>
        <item x="77"/>
        <item x="24"/>
        <item x="25"/>
        <item x="26"/>
        <item x="69"/>
        <item x="67"/>
        <item x="65"/>
        <item x="70"/>
        <item x="68"/>
        <item x="66"/>
        <item x="71"/>
        <item x="52"/>
        <item x="81"/>
        <item x="58"/>
        <item x="27"/>
        <item x="84"/>
        <item x="28"/>
        <item x="78"/>
        <item x="29"/>
        <item x="59"/>
        <item x="30"/>
        <item x="31"/>
        <item x="32"/>
        <item x="33"/>
        <item x="34"/>
        <item x="79"/>
        <item x="35"/>
        <item x="36"/>
        <item x="53"/>
        <item x="37"/>
        <item x="38"/>
        <item x="39"/>
        <item x="54"/>
        <item x="64"/>
        <item x="61"/>
        <item x="40"/>
        <item x="41"/>
        <item x="42"/>
        <item x="43"/>
        <item x="44"/>
        <item x="45"/>
        <item x="74"/>
        <item x="46"/>
        <item x="80"/>
        <item x="47"/>
        <item x="48"/>
        <item x="49"/>
        <item x="50"/>
        <item x="60"/>
        <item x="75"/>
        <item x="5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-2"/>
  </rowFields>
  <rowItems count="1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</rowItems>
  <colFields count="1">
    <field x="1"/>
  </colFields>
  <colItems count="8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 t="grand">
      <x/>
    </i>
  </colItems>
  <pageFields count="1">
    <pageField fld="0" hier="-1"/>
  </pageFields>
  <dataFields count="16">
    <dataField name="Sum of Asbestos Inspector" fld="2" baseField="0" baseItem="0"/>
    <dataField name="Sum of Asbestos Inspector Refresher" fld="3" baseField="0" baseItem="0"/>
    <dataField name="Sum of Asbestos Management Planner" fld="4" baseField="0" baseItem="0"/>
    <dataField name="Sum of Asbestos Management Planner Refresher" fld="5" baseField="0" baseItem="0"/>
    <dataField name="Sum of Asbestos Supervisor Initial" fld="6" baseField="0" baseItem="0"/>
    <dataField name="Sum of Asbestos Supervisor Refresher" fld="7" baseField="0" baseItem="0"/>
    <dataField name="Sum of Competent Person for Fall Protection Course" fld="8" baseField="0" baseItem="0"/>
    <dataField name="Sum of Confined Space Safety " fld="9" baseField="0" baseItem="0"/>
    <dataField name="Sum of Construction Safety Standards" fld="10" baseField="0" baseItem="0"/>
    <dataField name="Sum of Emergency Asbestos Response Team" fld="11" baseField="0" baseItem="0"/>
    <dataField name="Sum of Fire Protection &amp; Life Safety" fld="12" baseField="0" baseItem="0"/>
    <dataField name="Sum of Industrial Noise and Hearing Conservation Program" fld="13" baseField="0" baseItem="0"/>
    <dataField name="Sum of Occupational Health Program Manager (In development)" fld="14" baseField="0" baseItem="0"/>
    <dataField name="Sum of Respiratory Protection Program Management" fld="15" baseField="0" baseItem="0"/>
    <dataField name="Sum of Safety Managers Course " fld="16" baseField="0" baseItem="0"/>
    <dataField name="Sum of Workplace Inspection Course (In Development)" fld="17" baseField="0" baseItem="0"/>
  </dataFields>
  <formats count="26">
    <format dxfId="1768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8"/>
            <x v="20"/>
            <x v="21"/>
            <x v="22"/>
            <x v="23"/>
            <x v="25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1"/>
            <x v="53"/>
            <x v="54"/>
            <x v="55"/>
            <x v="56"/>
            <x v="57"/>
          </reference>
        </references>
      </pivotArea>
    </format>
    <format dxfId="1767">
      <pivotArea dataOnly="0" labelOnly="1" fieldPosition="0">
        <references count="1">
          <reference field="1" count="24">
            <x v="58"/>
            <x v="59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7"/>
            <x v="79"/>
            <x v="80"/>
            <x v="81"/>
            <x v="82"/>
            <x v="83"/>
            <x v="85"/>
          </reference>
        </references>
      </pivotArea>
    </format>
    <format dxfId="1766">
      <pivotArea dataOnly="0" labelOnly="1" grandCol="1" outline="0" fieldPosition="0"/>
    </format>
    <format dxfId="1765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8"/>
            <x v="20"/>
            <x v="21"/>
            <x v="22"/>
            <x v="23"/>
            <x v="25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1"/>
            <x v="53"/>
            <x v="54"/>
            <x v="55"/>
            <x v="56"/>
            <x v="57"/>
          </reference>
        </references>
      </pivotArea>
    </format>
    <format dxfId="1764">
      <pivotArea dataOnly="0" labelOnly="1" fieldPosition="0">
        <references count="1">
          <reference field="1" count="24">
            <x v="58"/>
            <x v="59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7"/>
            <x v="79"/>
            <x v="80"/>
            <x v="81"/>
            <x v="82"/>
            <x v="83"/>
            <x v="85"/>
          </reference>
        </references>
      </pivotArea>
    </format>
    <format dxfId="1763">
      <pivotArea dataOnly="0" labelOnly="1" grandCol="1" outline="0" fieldPosition="0"/>
    </format>
    <format dxfId="1762">
      <pivotArea outline="0" collapsedLevelsAreSubtotals="1" fieldPosition="0"/>
    </format>
    <format dxfId="1761">
      <pivotArea field="-2" type="button" dataOnly="0" labelOnly="1" outline="0" axis="axisRow" fieldPosition="0"/>
    </format>
    <format dxfId="1760">
      <pivotArea dataOnly="0" labelOnly="1" outline="0" fieldPosition="0">
        <references count="1">
          <reference field="4294967294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759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8"/>
            <x v="20"/>
            <x v="21"/>
            <x v="22"/>
            <x v="23"/>
            <x v="25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1"/>
            <x v="53"/>
            <x v="54"/>
            <x v="55"/>
            <x v="56"/>
            <x v="57"/>
          </reference>
        </references>
      </pivotArea>
    </format>
    <format dxfId="1758">
      <pivotArea dataOnly="0" labelOnly="1" fieldPosition="0">
        <references count="1">
          <reference field="1" count="24">
            <x v="58"/>
            <x v="59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7"/>
            <x v="79"/>
            <x v="80"/>
            <x v="81"/>
            <x v="82"/>
            <x v="83"/>
            <x v="85"/>
          </reference>
        </references>
      </pivotArea>
    </format>
    <format dxfId="1757">
      <pivotArea dataOnly="0" labelOnly="1" grandCol="1" outline="0" fieldPosition="0"/>
    </format>
    <format dxfId="1756">
      <pivotArea dataOnly="0" labelOnly="1" fieldPosition="0">
        <references count="1">
          <reference field="1" count="12">
            <x v="11"/>
            <x v="17"/>
            <x v="19"/>
            <x v="24"/>
            <x v="35"/>
            <x v="47"/>
            <x v="50"/>
            <x v="52"/>
            <x v="60"/>
            <x v="76"/>
            <x v="78"/>
            <x v="84"/>
          </reference>
        </references>
      </pivotArea>
    </format>
    <format dxfId="1755">
      <pivotArea grandCol="1" outline="0" collapsedLevelsAreSubtotals="1" fieldPosition="0"/>
    </format>
    <format dxfId="1754">
      <pivotArea grandCol="1" outline="0" collapsedLevelsAreSubtotals="1" fieldPosition="0"/>
    </format>
    <format dxfId="1753">
      <pivotArea collapsedLevelsAreSubtotals="1" fieldPosition="0">
        <references count="1">
          <reference field="4294967294" count="1">
            <x v="6"/>
          </reference>
        </references>
      </pivotArea>
    </format>
    <format dxfId="1752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751">
      <pivotArea grandCol="1" outline="0" collapsedLevelsAreSubtotals="1" fieldPosition="0"/>
    </format>
    <format dxfId="1750">
      <pivotArea dataOnly="0" labelOnly="1" grandCol="1" outline="0" fieldPosition="0"/>
    </format>
    <format dxfId="1749">
      <pivotArea grandCol="1" outline="0" collapsedLevelsAreSubtotals="1" fieldPosition="0"/>
    </format>
    <format dxfId="1748">
      <pivotArea dataOnly="0" labelOnly="1" grandCol="1" outline="0" fieldPosition="0"/>
    </format>
    <format dxfId="1747">
      <pivotArea grandCol="1" outline="0" collapsedLevelsAreSubtotals="1" fieldPosition="0"/>
    </format>
    <format dxfId="1746">
      <pivotArea dataOnly="0" labelOnly="1" grandCol="1" outline="0" fieldPosition="0"/>
    </format>
    <format dxfId="1745">
      <pivotArea dataOnly="0" labelOnly="1" fieldPosition="0">
        <references count="1">
          <reference field="1" count="50"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</reference>
        </references>
      </pivotArea>
    </format>
    <format dxfId="1744">
      <pivotArea dataOnly="0" labelOnly="1" fieldPosition="0">
        <references count="1">
          <reference field="1" count="25"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</reference>
        </references>
      </pivotArea>
    </format>
    <format dxfId="1743">
      <pivotArea dataOnly="0" labelOnly="1" grandCol="1" outline="0" fieldPosition="0"/>
    </format>
  </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79D96D-9457-4706-971C-1E87D7923AA3}" name="PivotTable2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G17" firstHeaderRow="0" firstDataRow="1" firstDataCol="1" rowPageCount="1" colPageCount="1"/>
  <pivotFields count="9">
    <pivotField axis="axisPage" showAll="0">
      <items count="57">
        <item x="0"/>
        <item x="2"/>
        <item x="18"/>
        <item x="19"/>
        <item x="8"/>
        <item x="11"/>
        <item x="21"/>
        <item x="23"/>
        <item x="6"/>
        <item x="20"/>
        <item x="22"/>
        <item x="7"/>
        <item x="15"/>
        <item x="17"/>
        <item x="9"/>
        <item x="10"/>
        <item x="4"/>
        <item x="12"/>
        <item x="13"/>
        <item x="14"/>
        <item x="16"/>
        <item x="5"/>
        <item x="1"/>
        <item x="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m="1" x="55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axis="axisRow" showAll="0">
      <items count="25">
        <item m="1" x="14"/>
        <item x="0"/>
        <item x="1"/>
        <item x="2"/>
        <item x="3"/>
        <item x="4"/>
        <item x="5"/>
        <item x="6"/>
        <item x="7"/>
        <item x="8"/>
        <item x="9"/>
        <item m="1" x="15"/>
        <item x="10"/>
        <item m="1" x="17"/>
        <item x="11"/>
        <item x="12"/>
        <item m="1" x="18"/>
        <item m="1" x="19"/>
        <item m="1" x="20"/>
        <item m="1" x="21"/>
        <item m="1" x="22"/>
        <item m="1" x="23"/>
        <item m="1" x="16"/>
        <item m="1" x="1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1"/>
  </rowFields>
  <rowItems count="1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2"/>
    </i>
    <i>
      <x v="14"/>
    </i>
    <i>
      <x v="1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0" hier="-1"/>
  </pageFields>
  <dataFields count="6">
    <dataField name="Sum of AST" fld="2" baseField="0" baseItem="0"/>
    <dataField name="Sum of CET/CEST" fld="3" baseField="0" baseItem="0"/>
    <dataField name="Sum of EST/EDT" fld="4" baseField="0" baseItem="0"/>
    <dataField name="Sum of HST" fld="5" baseField="0" baseItem="0"/>
    <dataField name="Sum of JST" fld="6" baseField="0" baseItem="0"/>
    <dataField name="Sum of PST/PDT " fld="7" baseField="0" baseItem="0"/>
  </dataFields>
  <formats count="8">
    <format dxfId="1742">
      <pivotArea collapsedLevelsAreSubtotals="1" fieldPosition="0">
        <references count="1">
          <reference field="1" count="0"/>
        </references>
      </pivotArea>
    </format>
    <format dxfId="1741">
      <pivotArea dataOnly="0" labelOnly="1" fieldPosition="0">
        <references count="1">
          <reference field="1" count="0"/>
        </references>
      </pivotArea>
    </format>
    <format dxfId="1740">
      <pivotArea collapsedLevelsAreSubtotals="1" fieldPosition="0">
        <references count="1">
          <reference field="1" count="16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1739">
      <pivotArea dataOnly="0" labelOnly="1" fieldPosition="0">
        <references count="1">
          <reference field="1" count="16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1738">
      <pivotArea grandRow="1" outline="0" collapsedLevelsAreSubtotals="1" fieldPosition="0"/>
    </format>
    <format dxfId="1737">
      <pivotArea dataOnly="0" labelOnly="1" grandRow="1" outline="0" fieldPosition="0"/>
    </format>
    <format dxfId="1736">
      <pivotArea grandRow="1" outline="0" collapsedLevelsAreSubtotals="1" fieldPosition="0"/>
    </format>
    <format dxfId="1735">
      <pivotArea dataOnly="0" labelOnly="1" grandRow="1" outline="0" fieldPosition="0"/>
    </format>
  </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9C7571-4473-491E-9783-0FE1CA908D1D}" name="PivotTable1" cacheId="3" dataOnRows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S13" firstHeaderRow="1" firstDataRow="2" firstDataCol="1" rowPageCount="1" colPageCount="1"/>
  <pivotFields count="12">
    <pivotField axis="axisPage" showAll="0">
      <items count="12">
        <item x="1"/>
        <item x="0"/>
        <item x="9"/>
        <item x="2"/>
        <item x="3"/>
        <item x="4"/>
        <item m="1" x="10"/>
        <item x="6"/>
        <item x="7"/>
        <item x="8"/>
        <item x="5"/>
        <item t="default"/>
      </items>
    </pivotField>
    <pivotField axis="axisCol" showAll="0" sortType="ascending">
      <items count="98">
        <item x="78"/>
        <item x="0"/>
        <item x="1"/>
        <item x="2"/>
        <item x="3"/>
        <item x="4"/>
        <item x="5"/>
        <item x="88"/>
        <item x="52"/>
        <item x="67"/>
        <item x="6"/>
        <item x="68"/>
        <item x="7"/>
        <item x="8"/>
        <item x="9"/>
        <item x="10"/>
        <item x="69"/>
        <item x="11"/>
        <item x="70"/>
        <item x="12"/>
        <item x="13"/>
        <item x="71"/>
        <item x="14"/>
        <item x="15"/>
        <item x="16"/>
        <item x="17"/>
        <item x="82"/>
        <item x="83"/>
        <item x="18"/>
        <item x="19"/>
        <item x="20"/>
        <item x="21"/>
        <item x="72"/>
        <item x="22"/>
        <item x="23"/>
        <item x="24"/>
        <item x="25"/>
        <item x="87"/>
        <item x="26"/>
        <item x="94"/>
        <item x="56"/>
        <item x="57"/>
        <item x="59"/>
        <item x="58"/>
        <item x="65"/>
        <item x="53"/>
        <item x="93"/>
        <item x="90"/>
        <item x="54"/>
        <item x="61"/>
        <item x="64"/>
        <item x="91"/>
        <item x="60"/>
        <item x="89"/>
        <item x="92"/>
        <item x="55"/>
        <item x="62"/>
        <item x="66"/>
        <item x="63"/>
        <item x="73"/>
        <item x="27"/>
        <item x="81"/>
        <item x="74"/>
        <item x="28"/>
        <item x="29"/>
        <item x="75"/>
        <item x="30"/>
        <item x="31"/>
        <item x="32"/>
        <item x="33"/>
        <item x="34"/>
        <item x="35"/>
        <item x="36"/>
        <item x="37"/>
        <item x="38"/>
        <item x="39"/>
        <item x="76"/>
        <item x="40"/>
        <item x="41"/>
        <item x="42"/>
        <item x="43"/>
        <item m="1" x="96"/>
        <item x="44"/>
        <item x="45"/>
        <item x="80"/>
        <item x="77"/>
        <item x="46"/>
        <item x="85"/>
        <item x="84"/>
        <item x="47"/>
        <item x="48"/>
        <item x="49"/>
        <item x="50"/>
        <item x="79"/>
        <item x="51"/>
        <item x="86"/>
        <item h="1" x="9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-2"/>
  </rowFields>
  <row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rowItems>
  <colFields count="1">
    <field x="1"/>
  </colFields>
  <colItems count="9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 t="grand">
      <x/>
    </i>
  </colItems>
  <pageFields count="1">
    <pageField fld="0" hier="-1"/>
  </pageFields>
  <dataFields count="9">
    <dataField name="Sum of Facility Response Team Five Day" fld="2" baseField="0" baseItem="0"/>
    <dataField name="Sum of Facility Response Team Three Day" fld="3" baseField="0" baseItem="0"/>
    <dataField name="Sum of Hazardous Substance Incident Response Management" fld="4" baseField="0" baseItem="0"/>
    <dataField name="Sum of Hazardous Substance Incident Response Management  Refresher" fld="5" baseField="0" baseItem="0"/>
    <dataField name="Sum of Incident Command System 300 " fld="6" baseField="0" baseItem="0"/>
    <dataField name="Sum of Incident Command System 300 Refresher" fld="7" baseField="0" baseItem="0"/>
    <dataField name="Sum of Incident Command System 400 " fld="8" baseField="0" baseItem="0"/>
    <dataField name="Sum of Oil Hazardous Substance Spill Response Tabletop Exercise " fld="9" baseField="0" baseItem="0"/>
    <dataField name="Sum of Tank Managers Course" fld="10" baseField="0" baseItem="0"/>
  </dataFields>
  <formats count="153">
    <format dxfId="1734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3"/>
            <x v="44"/>
            <x v="45"/>
            <x v="48"/>
            <x v="49"/>
            <x v="50"/>
            <x v="52"/>
            <x v="55"/>
          </reference>
        </references>
      </pivotArea>
    </format>
    <format dxfId="1733">
      <pivotArea dataOnly="0" labelOnly="1" fieldPosition="0">
        <references count="1">
          <reference field="1" count="41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1732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3"/>
            <x v="44"/>
            <x v="45"/>
            <x v="48"/>
            <x v="49"/>
            <x v="50"/>
            <x v="52"/>
            <x v="55"/>
          </reference>
        </references>
      </pivotArea>
    </format>
    <format dxfId="1731">
      <pivotArea dataOnly="0" labelOnly="1" fieldPosition="0">
        <references count="1">
          <reference field="1" count="41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1730">
      <pivotArea outline="0" collapsedLevelsAreSubtotals="1" fieldPosition="0">
        <references count="1">
          <reference field="1" count="0" selected="0"/>
        </references>
      </pivotArea>
    </format>
    <format dxfId="1729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728">
      <pivotArea collapsedLevelsAreSubtotals="1" fieldPosition="0">
        <references count="1">
          <reference field="4294967294" count="1">
            <x v="0"/>
          </reference>
        </references>
      </pivotArea>
    </format>
    <format dxfId="1727">
      <pivotArea collapsedLevelsAreSubtotals="1" fieldPosition="0">
        <references count="1">
          <reference field="4294967294" count="1">
            <x v="2"/>
          </reference>
        </references>
      </pivotArea>
    </format>
    <format dxfId="1726">
      <pivotArea collapsedLevelsAreSubtotals="1" fieldPosition="0">
        <references count="1">
          <reference field="4294967294" count="1">
            <x v="4"/>
          </reference>
        </references>
      </pivotArea>
    </format>
    <format dxfId="1725">
      <pivotArea outline="0" collapsedLevelsAreSubtotals="1" fieldPosition="0"/>
    </format>
    <format dxfId="1724">
      <pivotArea field="-2" type="button" dataOnly="0" labelOnly="1" outline="0" axis="axisRow" fieldPosition="0"/>
    </format>
    <format dxfId="1723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722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3"/>
            <x v="44"/>
            <x v="45"/>
            <x v="48"/>
            <x v="49"/>
            <x v="50"/>
            <x v="52"/>
            <x v="55"/>
          </reference>
        </references>
      </pivotArea>
    </format>
    <format dxfId="1721">
      <pivotArea dataOnly="0" labelOnly="1" fieldPosition="0">
        <references count="1">
          <reference field="1" count="41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1720">
      <pivotArea dataOnly="0" labelOnly="1" grandCol="1" outline="0" fieldPosition="0"/>
    </format>
    <format dxfId="1719">
      <pivotArea dataOnly="0" labelOnly="1" fieldPosition="0">
        <references count="1">
          <reference field="1" count="16"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</reference>
        </references>
      </pivotArea>
    </format>
    <format dxfId="1718">
      <pivotArea grandCol="1" outline="0" collapsedLevelsAreSubtotals="1" fieldPosition="0"/>
    </format>
    <format dxfId="1717">
      <pivotArea dataOnly="0" labelOnly="1" grandCol="1" outline="0" fieldPosition="0"/>
    </format>
    <format dxfId="1716">
      <pivotArea grandCol="1" outline="0" collapsedLevelsAreSubtotals="1" fieldPosition="0"/>
    </format>
    <format dxfId="1715">
      <pivotArea dataOnly="0" labelOnly="1" grandCol="1" outline="0" fieldPosition="0"/>
    </format>
    <format dxfId="1714">
      <pivotArea dataOnly="0" labelOnly="1" fieldPosition="0">
        <references count="1">
          <reference field="1" count="50"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</reference>
        </references>
      </pivotArea>
    </format>
    <format dxfId="1713">
      <pivotArea dataOnly="0" labelOnly="1" fieldPosition="0">
        <references count="1">
          <reference field="1" count="33"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1712">
      <pivotArea dataOnly="0" labelOnly="1" grandCol="1" outline="0" fieldPosition="0"/>
    </format>
    <format dxfId="1711">
      <pivotArea grandCol="1" outline="0" collapsedLevelsAreSubtotals="1" fieldPosition="0"/>
    </format>
    <format dxfId="1710">
      <pivotArea dataOnly="0" labelOnly="1" grandCol="1" outline="0" fieldPosition="0"/>
    </format>
    <format dxfId="1709">
      <pivotArea collapsedLevelsAreSubtotals="1" fieldPosition="0">
        <references count="2">
          <reference field="4294967294" count="1">
            <x v="6"/>
          </reference>
          <reference field="1" count="0" selected="0"/>
        </references>
      </pivotArea>
    </format>
    <format dxfId="1708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707">
      <pivotArea collapsedLevelsAreSubtotals="1" fieldPosition="0">
        <references count="2">
          <reference field="4294967294" count="1">
            <x v="0"/>
          </reference>
          <reference field="1" count="1" selected="0">
            <x v="1"/>
          </reference>
        </references>
      </pivotArea>
    </format>
    <format dxfId="1706">
      <pivotArea collapsedLevelsAreSubtotals="1" fieldPosition="0">
        <references count="2">
          <reference field="4294967294" count="1">
            <x v="0"/>
          </reference>
          <reference field="1" count="1" selected="0">
            <x v="2"/>
          </reference>
        </references>
      </pivotArea>
    </format>
    <format dxfId="1705">
      <pivotArea collapsedLevelsAreSubtotals="1" fieldPosition="0">
        <references count="2">
          <reference field="4294967294" count="1">
            <x v="1"/>
          </reference>
          <reference field="1" count="1" selected="0">
            <x v="3"/>
          </reference>
        </references>
      </pivotArea>
    </format>
    <format dxfId="1704">
      <pivotArea collapsedLevelsAreSubtotals="1" fieldPosition="0">
        <references count="2">
          <reference field="4294967294" count="1">
            <x v="1"/>
          </reference>
          <reference field="1" count="1" selected="0">
            <x v="4"/>
          </reference>
        </references>
      </pivotArea>
    </format>
    <format dxfId="1703">
      <pivotArea collapsedLevelsAreSubtotals="1" fieldPosition="0">
        <references count="2">
          <reference field="4294967294" count="1">
            <x v="0"/>
          </reference>
          <reference field="1" count="1" selected="0">
            <x v="5"/>
          </reference>
        </references>
      </pivotArea>
    </format>
    <format dxfId="1702">
      <pivotArea collapsedLevelsAreSubtotals="1" fieldPosition="0">
        <references count="2">
          <reference field="4294967294" count="1">
            <x v="1"/>
          </reference>
          <reference field="1" count="1" selected="0">
            <x v="12"/>
          </reference>
        </references>
      </pivotArea>
    </format>
    <format dxfId="1701">
      <pivotArea collapsedLevelsAreSubtotals="1" fieldPosition="0">
        <references count="2">
          <reference field="4294967294" count="1">
            <x v="0"/>
          </reference>
          <reference field="1" count="1" selected="0">
            <x v="13"/>
          </reference>
        </references>
      </pivotArea>
    </format>
    <format dxfId="1700">
      <pivotArea collapsedLevelsAreSubtotals="1" fieldPosition="0">
        <references count="2">
          <reference field="4294967294" count="1">
            <x v="0"/>
          </reference>
          <reference field="1" count="1" selected="0">
            <x v="17"/>
          </reference>
        </references>
      </pivotArea>
    </format>
    <format dxfId="1699">
      <pivotArea collapsedLevelsAreSubtotals="1" fieldPosition="0">
        <references count="2">
          <reference field="4294967294" count="1">
            <x v="1"/>
          </reference>
          <reference field="1" count="1" selected="0">
            <x v="19"/>
          </reference>
        </references>
      </pivotArea>
    </format>
    <format dxfId="1698">
      <pivotArea collapsedLevelsAreSubtotals="1" fieldPosition="0">
        <references count="2">
          <reference field="4294967294" count="1">
            <x v="1"/>
          </reference>
          <reference field="1" count="1" selected="0">
            <x v="22"/>
          </reference>
        </references>
      </pivotArea>
    </format>
    <format dxfId="1697">
      <pivotArea collapsedLevelsAreSubtotals="1" fieldPosition="0">
        <references count="2">
          <reference field="4294967294" count="1">
            <x v="0"/>
          </reference>
          <reference field="1" count="1" selected="0">
            <x v="23"/>
          </reference>
        </references>
      </pivotArea>
    </format>
    <format dxfId="1696">
      <pivotArea collapsedLevelsAreSubtotals="1" fieldPosition="0">
        <references count="2">
          <reference field="4294967294" count="1">
            <x v="0"/>
          </reference>
          <reference field="1" count="1" selected="0">
            <x v="24"/>
          </reference>
        </references>
      </pivotArea>
    </format>
    <format dxfId="1695">
      <pivotArea collapsedLevelsAreSubtotals="1" fieldPosition="0">
        <references count="2">
          <reference field="4294967294" count="1">
            <x v="1"/>
          </reference>
          <reference field="1" count="4" selected="0">
            <x v="26"/>
            <x v="27"/>
            <x v="28"/>
            <x v="29"/>
          </reference>
        </references>
      </pivotArea>
    </format>
    <format dxfId="1694">
      <pivotArea collapsedLevelsAreSubtotals="1" fieldPosition="0">
        <references count="2">
          <reference field="4294967294" count="1">
            <x v="1"/>
          </reference>
          <reference field="1" count="1" selected="0">
            <x v="31"/>
          </reference>
        </references>
      </pivotArea>
    </format>
    <format dxfId="1693">
      <pivotArea collapsedLevelsAreSubtotals="1" fieldPosition="0">
        <references count="2">
          <reference field="4294967294" count="1">
            <x v="0"/>
          </reference>
          <reference field="1" count="1" selected="0">
            <x v="32"/>
          </reference>
        </references>
      </pivotArea>
    </format>
    <format dxfId="1692">
      <pivotArea collapsedLevelsAreSubtotals="1" fieldPosition="0">
        <references count="2">
          <reference field="4294967294" count="1">
            <x v="0"/>
          </reference>
          <reference field="1" count="1" selected="0">
            <x v="34"/>
          </reference>
        </references>
      </pivotArea>
    </format>
    <format dxfId="1691">
      <pivotArea collapsedLevelsAreSubtotals="1" fieldPosition="0">
        <references count="2">
          <reference field="4294967294" count="1">
            <x v="1"/>
          </reference>
          <reference field="1" count="1" selected="0">
            <x v="36"/>
          </reference>
        </references>
      </pivotArea>
    </format>
    <format dxfId="1690">
      <pivotArea collapsedLevelsAreSubtotals="1" fieldPosition="0">
        <references count="2">
          <reference field="4294967294" count="1">
            <x v="1"/>
          </reference>
          <reference field="1" count="1" selected="0">
            <x v="37"/>
          </reference>
        </references>
      </pivotArea>
    </format>
    <format dxfId="1689">
      <pivotArea collapsedLevelsAreSubtotals="1" fieldPosition="0">
        <references count="2">
          <reference field="4294967294" count="1">
            <x v="0"/>
          </reference>
          <reference field="1" count="1" selected="0">
            <x v="38"/>
          </reference>
        </references>
      </pivotArea>
    </format>
    <format dxfId="1688">
      <pivotArea collapsedLevelsAreSubtotals="1" fieldPosition="0">
        <references count="2">
          <reference field="4294967294" count="1">
            <x v="1"/>
          </reference>
          <reference field="1" count="1" selected="0">
            <x v="63"/>
          </reference>
        </references>
      </pivotArea>
    </format>
    <format dxfId="1687">
      <pivotArea collapsedLevelsAreSubtotals="1" fieldPosition="0">
        <references count="2">
          <reference field="4294967294" count="1">
            <x v="0"/>
          </reference>
          <reference field="1" count="1" selected="0">
            <x v="64"/>
          </reference>
        </references>
      </pivotArea>
    </format>
    <format dxfId="1686">
      <pivotArea collapsedLevelsAreSubtotals="1" fieldPosition="0">
        <references count="2">
          <reference field="4294967294" count="1">
            <x v="1"/>
          </reference>
          <reference field="1" count="1" selected="0">
            <x v="66"/>
          </reference>
        </references>
      </pivotArea>
    </format>
    <format dxfId="1685">
      <pivotArea collapsedLevelsAreSubtotals="1" fieldPosition="0">
        <references count="2">
          <reference field="4294967294" count="1">
            <x v="0"/>
          </reference>
          <reference field="1" count="1" selected="0">
            <x v="67"/>
          </reference>
        </references>
      </pivotArea>
    </format>
    <format dxfId="1684">
      <pivotArea collapsedLevelsAreSubtotals="1" fieldPosition="0">
        <references count="2">
          <reference field="4294967294" count="1">
            <x v="0"/>
          </reference>
          <reference field="1" count="1" selected="0">
            <x v="67"/>
          </reference>
        </references>
      </pivotArea>
    </format>
    <format dxfId="1683">
      <pivotArea collapsedLevelsAreSubtotals="1" fieldPosition="0">
        <references count="2">
          <reference field="4294967294" count="1">
            <x v="0"/>
          </reference>
          <reference field="1" count="1" selected="0">
            <x v="67"/>
          </reference>
        </references>
      </pivotArea>
    </format>
    <format dxfId="1682">
      <pivotArea collapsedLevelsAreSubtotals="1" fieldPosition="0">
        <references count="2">
          <reference field="4294967294" count="1">
            <x v="1"/>
          </reference>
          <reference field="1" count="1" selected="0">
            <x v="67"/>
          </reference>
        </references>
      </pivotArea>
    </format>
    <format dxfId="1681">
      <pivotArea collapsedLevelsAreSubtotals="1" fieldPosition="0">
        <references count="2">
          <reference field="4294967294" count="1">
            <x v="0"/>
          </reference>
          <reference field="1" count="1" selected="0">
            <x v="68"/>
          </reference>
        </references>
      </pivotArea>
    </format>
    <format dxfId="1680">
      <pivotArea collapsedLevelsAreSubtotals="1" fieldPosition="0">
        <references count="2">
          <reference field="4294967294" count="1">
            <x v="1"/>
          </reference>
          <reference field="1" count="2" selected="0">
            <x v="69"/>
            <x v="70"/>
          </reference>
        </references>
      </pivotArea>
    </format>
    <format dxfId="1679">
      <pivotArea collapsedLevelsAreSubtotals="1" fieldPosition="0">
        <references count="2">
          <reference field="4294967294" count="2">
            <x v="0"/>
            <x v="1"/>
          </reference>
          <reference field="1" count="1" selected="0">
            <x v="71"/>
          </reference>
        </references>
      </pivotArea>
    </format>
    <format dxfId="1678">
      <pivotArea collapsedLevelsAreSubtotals="1" fieldPosition="0">
        <references count="2">
          <reference field="4294967294" count="1">
            <x v="1"/>
          </reference>
          <reference field="1" count="1" selected="0">
            <x v="72"/>
          </reference>
        </references>
      </pivotArea>
    </format>
    <format dxfId="1677">
      <pivotArea collapsedLevelsAreSubtotals="1" fieldPosition="0">
        <references count="2">
          <reference field="4294967294" count="1">
            <x v="0"/>
          </reference>
          <reference field="1" count="1" selected="0">
            <x v="73"/>
          </reference>
        </references>
      </pivotArea>
    </format>
    <format dxfId="1676">
      <pivotArea collapsedLevelsAreSubtotals="1" fieldPosition="0">
        <references count="2">
          <reference field="4294967294" count="1">
            <x v="0"/>
          </reference>
          <reference field="1" count="1" selected="0">
            <x v="74"/>
          </reference>
        </references>
      </pivotArea>
    </format>
    <format dxfId="1675">
      <pivotArea collapsedLevelsAreSubtotals="1" fieldPosition="0">
        <references count="2">
          <reference field="4294967294" count="1">
            <x v="0"/>
          </reference>
          <reference field="1" count="1" selected="0">
            <x v="75"/>
          </reference>
        </references>
      </pivotArea>
    </format>
    <format dxfId="1674">
      <pivotArea collapsedLevelsAreSubtotals="1" fieldPosition="0">
        <references count="2">
          <reference field="4294967294" count="1">
            <x v="0"/>
          </reference>
          <reference field="1" count="1" selected="0">
            <x v="77"/>
          </reference>
        </references>
      </pivotArea>
    </format>
    <format dxfId="1673">
      <pivotArea collapsedLevelsAreSubtotals="1" fieldPosition="0">
        <references count="2">
          <reference field="4294967294" count="1">
            <x v="0"/>
          </reference>
          <reference field="1" count="1" selected="0">
            <x v="13"/>
          </reference>
        </references>
      </pivotArea>
    </format>
    <format dxfId="1672">
      <pivotArea collapsedLevelsAreSubtotals="1" fieldPosition="0">
        <references count="2">
          <reference field="4294967294" count="1">
            <x v="0"/>
          </reference>
          <reference field="1" count="1" selected="0">
            <x v="79"/>
          </reference>
        </references>
      </pivotArea>
    </format>
    <format dxfId="1671">
      <pivotArea collapsedLevelsAreSubtotals="1" fieldPosition="0">
        <references count="2">
          <reference field="4294967294" count="1">
            <x v="0"/>
          </reference>
          <reference field="1" count="1" selected="0">
            <x v="80"/>
          </reference>
        </references>
      </pivotArea>
    </format>
    <format dxfId="1670">
      <pivotArea collapsedLevelsAreSubtotals="1" fieldPosition="0">
        <references count="2">
          <reference field="4294967294" count="1">
            <x v="1"/>
          </reference>
          <reference field="1" count="1" selected="0">
            <x v="81"/>
          </reference>
        </references>
      </pivotArea>
    </format>
    <format dxfId="1669">
      <pivotArea collapsedLevelsAreSubtotals="1" fieldPosition="0">
        <references count="2">
          <reference field="4294967294" count="1">
            <x v="0"/>
          </reference>
          <reference field="1" count="1" selected="0">
            <x v="84"/>
          </reference>
        </references>
      </pivotArea>
    </format>
    <format dxfId="1668">
      <pivotArea collapsedLevelsAreSubtotals="1" fieldPosition="0">
        <references count="2">
          <reference field="4294967294" count="1">
            <x v="1"/>
          </reference>
          <reference field="1" count="1" selected="0">
            <x v="86"/>
          </reference>
        </references>
      </pivotArea>
    </format>
    <format dxfId="1667">
      <pivotArea collapsedLevelsAreSubtotals="1" fieldPosition="0">
        <references count="2">
          <reference field="4294967294" count="1">
            <x v="0"/>
          </reference>
          <reference field="1" count="1" selected="0">
            <x v="87"/>
          </reference>
        </references>
      </pivotArea>
    </format>
    <format dxfId="1666">
      <pivotArea collapsedLevelsAreSubtotals="1" fieldPosition="0">
        <references count="2">
          <reference field="4294967294" count="1">
            <x v="1"/>
          </reference>
          <reference field="1" count="1" selected="0">
            <x v="88"/>
          </reference>
        </references>
      </pivotArea>
    </format>
    <format dxfId="1665">
      <pivotArea collapsedLevelsAreSubtotals="1" fieldPosition="0">
        <references count="2">
          <reference field="4294967294" count="1">
            <x v="1"/>
          </reference>
          <reference field="1" count="1" selected="0">
            <x v="90"/>
          </reference>
        </references>
      </pivotArea>
    </format>
    <format dxfId="1664">
      <pivotArea collapsedLevelsAreSubtotals="1" fieldPosition="0">
        <references count="2">
          <reference field="4294967294" count="1">
            <x v="1"/>
          </reference>
          <reference field="1" count="1" selected="0">
            <x v="91"/>
          </reference>
        </references>
      </pivotArea>
    </format>
    <format dxfId="1663">
      <pivotArea collapsedLevelsAreSubtotals="1" fieldPosition="0">
        <references count="2">
          <reference field="4294967294" count="1">
            <x v="1"/>
          </reference>
          <reference field="1" count="1" selected="0">
            <x v="91"/>
          </reference>
        </references>
      </pivotArea>
    </format>
    <format dxfId="1662">
      <pivotArea collapsedLevelsAreSubtotals="1" fieldPosition="0">
        <references count="2">
          <reference field="4294967294" count="1">
            <x v="1"/>
          </reference>
          <reference field="1" count="1" selected="0">
            <x v="92"/>
          </reference>
        </references>
      </pivotArea>
    </format>
    <format dxfId="1661">
      <pivotArea collapsedLevelsAreSubtotals="1" fieldPosition="0">
        <references count="2">
          <reference field="4294967294" count="1">
            <x v="0"/>
          </reference>
          <reference field="1" count="1" selected="0">
            <x v="94"/>
          </reference>
        </references>
      </pivotArea>
    </format>
    <format dxfId="1660">
      <pivotArea collapsedLevelsAreSubtotals="1" fieldPosition="0">
        <references count="2">
          <reference field="4294967294" count="1">
            <x v="1"/>
          </reference>
          <reference field="1" count="1" selected="0">
            <x v="67"/>
          </reference>
        </references>
      </pivotArea>
    </format>
    <format dxfId="1659">
      <pivotArea collapsedLevelsAreSubtotals="1" fieldPosition="0">
        <references count="2">
          <reference field="4294967294" count="1">
            <x v="0"/>
          </reference>
          <reference field="1" count="1" selected="0">
            <x v="67"/>
          </reference>
        </references>
      </pivotArea>
    </format>
    <format dxfId="1658">
      <pivotArea collapsedLevelsAreSubtotals="1" fieldPosition="0">
        <references count="2">
          <reference field="4294967294" count="1">
            <x v="8"/>
          </reference>
          <reference field="1" count="1" selected="0">
            <x v="79"/>
          </reference>
        </references>
      </pivotArea>
    </format>
    <format dxfId="1657">
      <pivotArea collapsedLevelsAreSubtotals="1" fieldPosition="0">
        <references count="2">
          <reference field="4294967294" count="1">
            <x v="8"/>
          </reference>
          <reference field="1" count="1" selected="0">
            <x v="23"/>
          </reference>
        </references>
      </pivotArea>
    </format>
    <format dxfId="1656">
      <pivotArea collapsedLevelsAreSubtotals="1" fieldPosition="0">
        <references count="2">
          <reference field="4294967294" count="1">
            <x v="8"/>
          </reference>
          <reference field="1" count="1" selected="0">
            <x v="79"/>
          </reference>
        </references>
      </pivotArea>
    </format>
    <format dxfId="1655">
      <pivotArea collapsedLevelsAreSubtotals="1" fieldPosition="0">
        <references count="2">
          <reference field="4294967294" count="1">
            <x v="8"/>
          </reference>
          <reference field="1" count="1" selected="0">
            <x v="71"/>
          </reference>
        </references>
      </pivotArea>
    </format>
    <format dxfId="1654">
      <pivotArea collapsedLevelsAreSubtotals="1" fieldPosition="0">
        <references count="2">
          <reference field="4294967294" count="1">
            <x v="2"/>
          </reference>
          <reference field="1" count="5" selected="0">
            <x v="1"/>
            <x v="2"/>
            <x v="3"/>
            <x v="4"/>
            <x v="5"/>
          </reference>
        </references>
      </pivotArea>
    </format>
    <format dxfId="1653">
      <pivotArea collapsedLevelsAreSubtotals="1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1652">
      <pivotArea collapsedLevelsAreSubtotals="1" fieldPosition="0">
        <references count="2">
          <reference field="4294967294" count="1">
            <x v="2"/>
          </reference>
          <reference field="1" count="2" selected="0">
            <x v="12"/>
            <x v="13"/>
          </reference>
        </references>
      </pivotArea>
    </format>
    <format dxfId="1651">
      <pivotArea collapsedLevelsAreSubtotals="1" fieldPosition="0">
        <references count="2">
          <reference field="4294967294" count="1">
            <x v="2"/>
          </reference>
          <reference field="1" count="3" selected="0">
            <x v="15"/>
            <x v="16"/>
            <x v="17"/>
          </reference>
        </references>
      </pivotArea>
    </format>
    <format dxfId="1650">
      <pivotArea collapsedLevelsAreSubtotals="1" fieldPosition="0">
        <references count="2">
          <reference field="4294967294" count="1">
            <x v="2"/>
          </reference>
          <reference field="1" count="2" selected="0">
            <x v="19"/>
            <x v="20"/>
          </reference>
        </references>
      </pivotArea>
    </format>
    <format dxfId="1649">
      <pivotArea collapsedLevelsAreSubtotals="1" fieldPosition="0">
        <references count="2">
          <reference field="4294967294" count="1">
            <x v="2"/>
          </reference>
          <reference field="1" count="2" selected="0">
            <x v="22"/>
            <x v="23"/>
          </reference>
        </references>
      </pivotArea>
    </format>
    <format dxfId="1648">
      <pivotArea collapsedLevelsAreSubtotals="1" fieldPosition="0">
        <references count="2">
          <reference field="4294967294" count="1">
            <x v="2"/>
          </reference>
          <reference field="1" count="1" selected="0">
            <x v="30"/>
          </reference>
        </references>
      </pivotArea>
    </format>
    <format dxfId="1647">
      <pivotArea collapsedLevelsAreSubtotals="1" fieldPosition="0">
        <references count="2">
          <reference field="4294967294" count="1">
            <x v="2"/>
          </reference>
          <reference field="1" count="1" selected="0">
            <x v="36"/>
          </reference>
        </references>
      </pivotArea>
    </format>
    <format dxfId="1646">
      <pivotArea collapsedLevelsAreSubtotals="1" fieldPosition="0">
        <references count="2">
          <reference field="4294967294" count="1">
            <x v="2"/>
          </reference>
          <reference field="1" count="2" selected="0">
            <x v="63"/>
            <x v="64"/>
          </reference>
        </references>
      </pivotArea>
    </format>
    <format dxfId="1645">
      <pivotArea collapsedLevelsAreSubtotals="1" fieldPosition="0">
        <references count="2">
          <reference field="4294967294" count="1">
            <x v="2"/>
          </reference>
          <reference field="1" count="3" selected="0">
            <x v="66"/>
            <x v="67"/>
            <x v="68"/>
          </reference>
        </references>
      </pivotArea>
    </format>
    <format dxfId="1644">
      <pivotArea collapsedLevelsAreSubtotals="1" fieldPosition="0">
        <references count="2">
          <reference field="4294967294" count="1">
            <x v="2"/>
          </reference>
          <reference field="1" count="2" selected="0">
            <x v="70"/>
            <x v="71"/>
          </reference>
        </references>
      </pivotArea>
    </format>
    <format dxfId="1643">
      <pivotArea collapsedLevelsAreSubtotals="1" fieldPosition="0">
        <references count="2">
          <reference field="4294967294" count="1">
            <x v="2"/>
          </reference>
          <reference field="1" count="5" selected="0">
            <x v="73"/>
            <x v="74"/>
            <x v="75"/>
            <x v="76"/>
            <x v="77"/>
          </reference>
        </references>
      </pivotArea>
    </format>
    <format dxfId="1642">
      <pivotArea collapsedLevelsAreSubtotals="1" fieldPosition="0">
        <references count="2">
          <reference field="4294967294" count="1">
            <x v="2"/>
          </reference>
          <reference field="1" count="2" selected="0">
            <x v="79"/>
            <x v="80"/>
          </reference>
        </references>
      </pivotArea>
    </format>
    <format dxfId="1641">
      <pivotArea collapsedLevelsAreSubtotals="1" fieldPosition="0">
        <references count="2">
          <reference field="4294967294" count="1">
            <x v="2"/>
          </reference>
          <reference field="1" count="1" selected="0">
            <x v="83"/>
          </reference>
        </references>
      </pivotArea>
    </format>
    <format dxfId="1640">
      <pivotArea collapsedLevelsAreSubtotals="1" fieldPosition="0">
        <references count="2">
          <reference field="4294967294" count="1">
            <x v="2"/>
          </reference>
          <reference field="1" count="2" selected="0">
            <x v="86"/>
            <x v="87"/>
          </reference>
        </references>
      </pivotArea>
    </format>
    <format dxfId="1639">
      <pivotArea collapsedLevelsAreSubtotals="1" fieldPosition="0">
        <references count="2">
          <reference field="4294967294" count="1">
            <x v="2"/>
          </reference>
          <reference field="1" count="2" selected="0">
            <x v="91"/>
            <x v="92"/>
          </reference>
        </references>
      </pivotArea>
    </format>
    <format dxfId="1638">
      <pivotArea collapsedLevelsAreSubtotals="1" fieldPosition="0">
        <references count="2">
          <reference field="4294967294" count="1">
            <x v="2"/>
          </reference>
          <reference field="1" count="1" selected="0">
            <x v="94"/>
          </reference>
        </references>
      </pivotArea>
    </format>
    <format dxfId="1637">
      <pivotArea collapsedLevelsAreSubtotals="1" fieldPosition="0">
        <references count="2">
          <reference field="4294967294" count="1">
            <x v="1"/>
          </reference>
          <reference field="1" count="1" selected="0">
            <x v="0"/>
          </reference>
        </references>
      </pivotArea>
    </format>
    <format dxfId="1636">
      <pivotArea collapsedLevelsAreSubtotals="1" fieldPosition="0">
        <references count="2">
          <reference field="4294967294" count="1">
            <x v="8"/>
          </reference>
          <reference field="1" count="1" selected="0">
            <x v="83"/>
          </reference>
        </references>
      </pivotArea>
    </format>
    <format dxfId="1635">
      <pivotArea collapsedLevelsAreSubtotals="1" fieldPosition="0">
        <references count="2">
          <reference field="4294967294" count="1">
            <x v="8"/>
          </reference>
          <reference field="1" count="1" selected="0">
            <x v="83"/>
          </reference>
        </references>
      </pivotArea>
    </format>
    <format dxfId="1634">
      <pivotArea collapsedLevelsAreSubtotals="1" fieldPosition="0">
        <references count="2">
          <reference field="4294967294" count="1">
            <x v="8"/>
          </reference>
          <reference field="1" count="1" selected="0">
            <x v="77"/>
          </reference>
        </references>
      </pivotArea>
    </format>
    <format dxfId="1633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632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631">
      <pivotArea collapsedLevelsAreSubtotals="1" fieldPosition="0">
        <references count="2">
          <reference field="4294967294" count="1">
            <x v="3"/>
          </reference>
          <reference field="1" count="0" selected="0"/>
        </references>
      </pivotArea>
    </format>
    <format dxfId="1630">
      <pivotArea collapsedLevelsAreSubtotals="1" fieldPosition="0">
        <references count="2">
          <reference field="4294967294" count="1">
            <x v="3"/>
          </reference>
          <reference field="1" count="0" selected="0"/>
        </references>
      </pivotArea>
    </format>
    <format dxfId="1629">
      <pivotArea collapsedLevelsAreSubtotals="1" fieldPosition="0">
        <references count="2">
          <reference field="4294967294" count="1">
            <x v="3"/>
          </reference>
          <reference field="1" count="1" selected="0">
            <x v="2"/>
          </reference>
        </references>
      </pivotArea>
    </format>
    <format dxfId="1628">
      <pivotArea collapsedLevelsAreSubtotals="1" fieldPosition="0">
        <references count="2">
          <reference field="4294967294" count="1">
            <x v="3"/>
          </reference>
          <reference field="1" count="1" selected="0">
            <x v="5"/>
          </reference>
        </references>
      </pivotArea>
    </format>
    <format dxfId="1627">
      <pivotArea collapsedLevelsAreSubtotals="1" fieldPosition="0">
        <references count="2">
          <reference field="4294967294" count="1">
            <x v="3"/>
          </reference>
          <reference field="1" count="1" selected="0">
            <x v="10"/>
          </reference>
        </references>
      </pivotArea>
    </format>
    <format dxfId="1626">
      <pivotArea collapsedLevelsAreSubtotals="1" fieldPosition="0">
        <references count="2">
          <reference field="4294967294" count="1">
            <x v="3"/>
          </reference>
          <reference field="1" count="1" selected="0">
            <x v="13"/>
          </reference>
        </references>
      </pivotArea>
    </format>
    <format dxfId="1625">
      <pivotArea collapsedLevelsAreSubtotals="1" fieldPosition="0">
        <references count="2">
          <reference field="4294967294" count="1">
            <x v="3"/>
          </reference>
          <reference field="1" count="1" selected="0">
            <x v="15"/>
          </reference>
        </references>
      </pivotArea>
    </format>
    <format dxfId="1624">
      <pivotArea collapsedLevelsAreSubtotals="1" fieldPosition="0">
        <references count="2">
          <reference field="4294967294" count="1">
            <x v="3"/>
          </reference>
          <reference field="1" count="1" selected="0">
            <x v="17"/>
          </reference>
        </references>
      </pivotArea>
    </format>
    <format dxfId="1623">
      <pivotArea collapsedLevelsAreSubtotals="1" fieldPosition="0">
        <references count="2">
          <reference field="4294967294" count="1">
            <x v="3"/>
          </reference>
          <reference field="1" count="1" selected="0">
            <x v="23"/>
          </reference>
        </references>
      </pivotArea>
    </format>
    <format dxfId="1622">
      <pivotArea collapsedLevelsAreSubtotals="1" fieldPosition="0">
        <references count="2">
          <reference field="4294967294" count="1">
            <x v="3"/>
          </reference>
          <reference field="1" count="1" selected="0">
            <x v="22"/>
          </reference>
        </references>
      </pivotArea>
    </format>
    <format dxfId="1621">
      <pivotArea collapsedLevelsAreSubtotals="1" fieldPosition="0">
        <references count="2">
          <reference field="4294967294" count="1">
            <x v="3"/>
          </reference>
          <reference field="1" count="1" selected="0">
            <x v="37"/>
          </reference>
        </references>
      </pivotArea>
    </format>
    <format dxfId="1620">
      <pivotArea collapsedLevelsAreSubtotals="1" fieldPosition="0">
        <references count="2">
          <reference field="4294967294" count="1">
            <x v="3"/>
          </reference>
          <reference field="1" count="1" selected="0">
            <x v="29"/>
          </reference>
        </references>
      </pivotArea>
    </format>
    <format dxfId="1619">
      <pivotArea collapsedLevelsAreSubtotals="1" fieldPosition="0">
        <references count="2">
          <reference field="4294967294" count="1">
            <x v="3"/>
          </reference>
          <reference field="1" count="1" selected="0">
            <x v="38"/>
          </reference>
        </references>
      </pivotArea>
    </format>
    <format dxfId="1618">
      <pivotArea collapsedLevelsAreSubtotals="1" fieldPosition="0">
        <references count="2">
          <reference field="4294967294" count="1">
            <x v="3"/>
          </reference>
          <reference field="1" count="1" selected="0">
            <x v="63"/>
          </reference>
        </references>
      </pivotArea>
    </format>
    <format dxfId="1617">
      <pivotArea collapsedLevelsAreSubtotals="1" fieldPosition="0">
        <references count="2">
          <reference field="4294967294" count="1">
            <x v="3"/>
          </reference>
          <reference field="1" count="1" selected="0">
            <x v="64"/>
          </reference>
        </references>
      </pivotArea>
    </format>
    <format dxfId="1616">
      <pivotArea collapsedLevelsAreSubtotals="1" fieldPosition="0">
        <references count="2">
          <reference field="4294967294" count="1">
            <x v="3"/>
          </reference>
          <reference field="1" count="1" selected="0">
            <x v="67"/>
          </reference>
        </references>
      </pivotArea>
    </format>
    <format dxfId="1615">
      <pivotArea collapsedLevelsAreSubtotals="1" fieldPosition="0">
        <references count="2">
          <reference field="4294967294" count="1">
            <x v="3"/>
          </reference>
          <reference field="1" count="1" selected="0">
            <x v="70"/>
          </reference>
        </references>
      </pivotArea>
    </format>
    <format dxfId="1614">
      <pivotArea collapsedLevelsAreSubtotals="1" fieldPosition="0">
        <references count="2">
          <reference field="4294967294" count="1">
            <x v="3"/>
          </reference>
          <reference field="1" count="1" selected="0">
            <x v="71"/>
          </reference>
        </references>
      </pivotArea>
    </format>
    <format dxfId="1613">
      <pivotArea collapsedLevelsAreSubtotals="1" fieldPosition="0">
        <references count="2">
          <reference field="4294967294" count="1">
            <x v="3"/>
          </reference>
          <reference field="1" count="1" selected="0">
            <x v="75"/>
          </reference>
        </references>
      </pivotArea>
    </format>
    <format dxfId="1612">
      <pivotArea collapsedLevelsAreSubtotals="1" fieldPosition="0">
        <references count="2">
          <reference field="4294967294" count="1">
            <x v="3"/>
          </reference>
          <reference field="1" count="1" selected="0">
            <x v="77"/>
          </reference>
        </references>
      </pivotArea>
    </format>
    <format dxfId="1611">
      <pivotArea collapsedLevelsAreSubtotals="1" fieldPosition="0">
        <references count="2">
          <reference field="4294967294" count="1">
            <x v="3"/>
          </reference>
          <reference field="1" count="1" selected="0">
            <x v="80"/>
          </reference>
        </references>
      </pivotArea>
    </format>
    <format dxfId="1610">
      <pivotArea collapsedLevelsAreSubtotals="1" fieldPosition="0">
        <references count="2">
          <reference field="4294967294" count="1">
            <x v="3"/>
          </reference>
          <reference field="1" count="1" selected="0">
            <x v="83"/>
          </reference>
        </references>
      </pivotArea>
    </format>
    <format dxfId="1609">
      <pivotArea collapsedLevelsAreSubtotals="1" fieldPosition="0">
        <references count="2">
          <reference field="4294967294" count="1">
            <x v="3"/>
          </reference>
          <reference field="1" count="1" selected="0">
            <x v="94"/>
          </reference>
        </references>
      </pivotArea>
    </format>
    <format dxfId="1608">
      <pivotArea collapsedLevelsAreSubtotals="1" fieldPosition="0">
        <references count="2">
          <reference field="4294967294" count="1">
            <x v="3"/>
          </reference>
          <reference field="1" count="1" selected="0">
            <x v="86"/>
          </reference>
        </references>
      </pivotArea>
    </format>
    <format dxfId="1607">
      <pivotArea collapsedLevelsAreSubtotals="1" fieldPosition="0">
        <references count="2">
          <reference field="4294967294" count="1">
            <x v="8"/>
          </reference>
          <reference field="1" count="1" selected="0">
            <x v="67"/>
          </reference>
        </references>
      </pivotArea>
    </format>
    <format dxfId="1606">
      <pivotArea collapsedLevelsAreSubtotals="1" fieldPosition="0">
        <references count="2">
          <reference field="4294967294" count="1">
            <x v="7"/>
          </reference>
          <reference field="1" count="1" selected="0">
            <x v="1"/>
          </reference>
        </references>
      </pivotArea>
    </format>
    <format dxfId="1605">
      <pivotArea collapsedLevelsAreSubtotals="1" fieldPosition="0">
        <references count="2">
          <reference field="4294967294" count="1">
            <x v="7"/>
          </reference>
          <reference field="1" count="1" selected="0">
            <x v="2"/>
          </reference>
        </references>
      </pivotArea>
    </format>
    <format dxfId="1604">
      <pivotArea collapsedLevelsAreSubtotals="1" fieldPosition="0">
        <references count="2">
          <reference field="4294967294" count="1">
            <x v="7"/>
          </reference>
          <reference field="1" count="3" selected="0">
            <x v="4"/>
            <x v="5"/>
            <x v="6"/>
          </reference>
        </references>
      </pivotArea>
    </format>
    <format dxfId="1603">
      <pivotArea collapsedLevelsAreSubtotals="1" fieldPosition="0">
        <references count="2">
          <reference field="4294967294" count="1">
            <x v="7"/>
          </reference>
          <reference field="1" count="1" selected="0">
            <x v="10"/>
          </reference>
        </references>
      </pivotArea>
    </format>
    <format dxfId="1602">
      <pivotArea collapsedLevelsAreSubtotals="1" fieldPosition="0">
        <references count="2">
          <reference field="4294967294" count="1">
            <x v="7"/>
          </reference>
          <reference field="1" count="2" selected="0">
            <x v="12"/>
            <x v="13"/>
          </reference>
        </references>
      </pivotArea>
    </format>
    <format dxfId="1601">
      <pivotArea collapsedLevelsAreSubtotals="1" fieldPosition="0">
        <references count="2">
          <reference field="4294967294" count="1">
            <x v="7"/>
          </reference>
          <reference field="1" count="1" selected="0">
            <x v="15"/>
          </reference>
        </references>
      </pivotArea>
    </format>
    <format dxfId="1600">
      <pivotArea collapsedLevelsAreSubtotals="1" fieldPosition="0">
        <references count="2">
          <reference field="4294967294" count="1">
            <x v="7"/>
          </reference>
          <reference field="1" count="1" selected="0">
            <x v="17"/>
          </reference>
        </references>
      </pivotArea>
    </format>
    <format dxfId="1599">
      <pivotArea collapsedLevelsAreSubtotals="1" fieldPosition="0">
        <references count="2">
          <reference field="4294967294" count="1">
            <x v="7"/>
          </reference>
          <reference field="1" count="1" selected="0">
            <x v="23"/>
          </reference>
        </references>
      </pivotArea>
    </format>
    <format dxfId="1598">
      <pivotArea collapsedLevelsAreSubtotals="1" fieldPosition="0">
        <references count="2">
          <reference field="4294967294" count="1">
            <x v="7"/>
          </reference>
          <reference field="1" count="1" selected="0">
            <x v="20"/>
          </reference>
        </references>
      </pivotArea>
    </format>
    <format dxfId="1597">
      <pivotArea collapsedLevelsAreSubtotals="1" fieldPosition="0">
        <references count="2">
          <reference field="4294967294" count="1">
            <x v="7"/>
          </reference>
          <reference field="1" count="1" selected="0">
            <x v="28"/>
          </reference>
        </references>
      </pivotArea>
    </format>
    <format dxfId="1596">
      <pivotArea collapsedLevelsAreSubtotals="1" fieldPosition="0">
        <references count="2">
          <reference field="4294967294" count="1">
            <x v="7"/>
          </reference>
          <reference field="1" count="1" selected="0">
            <x v="31"/>
          </reference>
        </references>
      </pivotArea>
    </format>
    <format dxfId="1595">
      <pivotArea collapsedLevelsAreSubtotals="1" fieldPosition="0">
        <references count="2">
          <reference field="4294967294" count="1">
            <x v="7"/>
          </reference>
          <reference field="1" count="1" selected="0">
            <x v="36"/>
          </reference>
        </references>
      </pivotArea>
    </format>
    <format dxfId="1594">
      <pivotArea collapsedLevelsAreSubtotals="1" fieldPosition="0">
        <references count="2">
          <reference field="4294967294" count="1">
            <x v="7"/>
          </reference>
          <reference field="1" count="1" selected="0">
            <x v="64"/>
          </reference>
        </references>
      </pivotArea>
    </format>
    <format dxfId="1593">
      <pivotArea collapsedLevelsAreSubtotals="1" fieldPosition="0">
        <references count="2">
          <reference field="4294967294" count="1">
            <x v="7"/>
          </reference>
          <reference field="1" count="3" selected="0">
            <x v="66"/>
            <x v="67"/>
            <x v="68"/>
          </reference>
        </references>
      </pivotArea>
    </format>
    <format dxfId="1592">
      <pivotArea collapsedLevelsAreSubtotals="1" fieldPosition="0">
        <references count="2">
          <reference field="4294967294" count="1">
            <x v="7"/>
          </reference>
          <reference field="1" count="2" selected="0">
            <x v="70"/>
            <x v="71"/>
          </reference>
        </references>
      </pivotArea>
    </format>
    <format dxfId="1591">
      <pivotArea collapsedLevelsAreSubtotals="1" fieldPosition="0">
        <references count="2">
          <reference field="4294967294" count="1">
            <x v="7"/>
          </reference>
          <reference field="1" count="1" selected="0">
            <x v="75"/>
          </reference>
        </references>
      </pivotArea>
    </format>
    <format dxfId="1590">
      <pivotArea collapsedLevelsAreSubtotals="1" fieldPosition="0">
        <references count="2">
          <reference field="4294967294" count="1">
            <x v="7"/>
          </reference>
          <reference field="1" count="2" selected="0">
            <x v="79"/>
            <x v="80"/>
          </reference>
        </references>
      </pivotArea>
    </format>
    <format dxfId="1589">
      <pivotArea collapsedLevelsAreSubtotals="1" fieldPosition="0">
        <references count="2">
          <reference field="4294967294" count="1">
            <x v="7"/>
          </reference>
          <reference field="1" count="1" selected="0">
            <x v="84"/>
          </reference>
        </references>
      </pivotArea>
    </format>
    <format dxfId="1588">
      <pivotArea collapsedLevelsAreSubtotals="1" fieldPosition="0">
        <references count="2">
          <reference field="4294967294" count="1">
            <x v="7"/>
          </reference>
          <reference field="1" count="1" selected="0">
            <x v="90"/>
          </reference>
        </references>
      </pivotArea>
    </format>
    <format dxfId="1587">
      <pivotArea collapsedLevelsAreSubtotals="1" fieldPosition="0">
        <references count="2">
          <reference field="4294967294" count="1">
            <x v="7"/>
          </reference>
          <reference field="1" count="1" selected="0">
            <x v="92"/>
          </reference>
        </references>
      </pivotArea>
    </format>
    <format dxfId="1586">
      <pivotArea collapsedLevelsAreSubtotals="1" fieldPosition="0">
        <references count="2">
          <reference field="4294967294" count="1">
            <x v="7"/>
          </reference>
          <reference field="1" count="2" selected="0">
            <x v="94"/>
            <x v="95"/>
          </reference>
        </references>
      </pivotArea>
    </format>
    <format dxfId="1585">
      <pivotArea dataOnly="0" labelOnly="1" fieldPosition="0">
        <references count="1">
          <reference field="1" count="2">
            <x v="46"/>
            <x v="47"/>
          </reference>
        </references>
      </pivotArea>
    </format>
    <format dxfId="1584">
      <pivotArea dataOnly="0" labelOnly="1" fieldPosition="0">
        <references count="1">
          <reference field="1" count="2">
            <x v="53"/>
            <x v="54"/>
          </reference>
        </references>
      </pivotArea>
    </format>
    <format dxfId="1583">
      <pivotArea outline="0" collapsedLevelsAreSubtotals="1" fieldPosition="0">
        <references count="1">
          <reference field="1" count="0" selected="0"/>
        </references>
      </pivotArea>
    </format>
    <format dxfId="1582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</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4209C4-8D0C-4689-9770-B085FC1F9B18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G6" firstHeaderRow="0" firstDataRow="1" firstDataCol="1" rowPageCount="1" colPageCount="1"/>
  <pivotFields count="9">
    <pivotField axis="axisPage" showAll="0">
      <items count="10">
        <item x="7"/>
        <item x="5"/>
        <item x="4"/>
        <item x="2"/>
        <item x="3"/>
        <item x="6"/>
        <item x="1"/>
        <item x="0"/>
        <item x="8"/>
        <item t="default"/>
      </items>
    </pivotField>
    <pivotField axis="axisRow" showAll="0">
      <items count="5">
        <item x="0"/>
        <item m="1" x="3"/>
        <item x="1"/>
        <item h="1" x="2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1"/>
  </rowFields>
  <rowItems count="3">
    <i>
      <x/>
    </i>
    <i>
      <x v="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0" hier="-1"/>
  </pageFields>
  <dataFields count="6">
    <dataField name="Sum of AST" fld="2" baseField="0" baseItem="0"/>
    <dataField name="Sum of CET/CEST" fld="3" baseField="0" baseItem="0"/>
    <dataField name="Sum of EST/EDT" fld="4" baseField="0" baseItem="0"/>
    <dataField name="Sum of HST" fld="5" baseField="0" baseItem="0"/>
    <dataField name="Sum of JST" fld="6" baseField="0" baseItem="0"/>
    <dataField name="Sum of PST/PDT " fld="7" baseField="0" baseItem="0"/>
  </dataFields>
  <formats count="8">
    <format dxfId="1581">
      <pivotArea grandRow="1" outline="0" collapsedLevelsAreSubtotals="1" fieldPosition="0"/>
    </format>
    <format dxfId="1580">
      <pivotArea dataOnly="0" labelOnly="1" grandRow="1" outline="0" fieldPosition="0"/>
    </format>
    <format dxfId="1579">
      <pivotArea collapsedLevelsAreSubtotals="1" fieldPosition="0">
        <references count="1">
          <reference field="1" count="0"/>
        </references>
      </pivotArea>
    </format>
    <format dxfId="1578">
      <pivotArea dataOnly="0" labelOnly="1" fieldPosition="0">
        <references count="1">
          <reference field="1" count="0"/>
        </references>
      </pivotArea>
    </format>
    <format dxfId="1577">
      <pivotArea grandRow="1" outline="0" collapsedLevelsAreSubtotals="1" fieldPosition="0"/>
    </format>
    <format dxfId="1576">
      <pivotArea dataOnly="0" labelOnly="1" grandRow="1" outline="0" fieldPosition="0"/>
    </format>
    <format dxfId="1575">
      <pivotArea grandRow="1" outline="0" collapsedLevelsAreSubtotals="1" fieldPosition="0"/>
    </format>
    <format dxfId="1574">
      <pivotArea dataOnly="0" labelOnly="1" grandRow="1" outline="0" fieldPosition="0"/>
    </format>
  </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Table3112" displayName="Table3112" ref="B5:N43" headerRowDxfId="2269" dataDxfId="2268" totalsRowDxfId="2266" tableBorderDxfId="2267" totalsRowBorderDxfId="2265">
  <autoFilter ref="B5:N43" xr:uid="{00000000-0009-0000-0100-000001000000}"/>
  <sortState xmlns:xlrd2="http://schemas.microsoft.com/office/spreadsheetml/2017/richdata2" ref="B6:Y41">
    <sortCondition ref="D4:D40"/>
  </sortState>
  <tableColumns count="13">
    <tableColumn id="1" xr3:uid="{00000000-0010-0000-0400-000001000000}" name="Courses - Planned vs Need (Active Courses)" totalsRowLabel="Total" dataDxfId="2264" totalsRowDxfId="2263"/>
    <tableColumn id="2" xr3:uid="{00000000-0010-0000-0400-000002000000}" name="CTR" dataDxfId="2262" totalsRowDxfId="2261"/>
    <tableColumn id="3" xr3:uid="{00000000-0010-0000-0400-000003000000}" name="Dept" dataDxfId="2260" totalsRowDxfId="2259"/>
    <tableColumn id="4" xr3:uid="{00000000-0010-0000-0400-000004000000}" name="Course Offerings Todate" totalsRowFunction="sum" dataDxfId="2258" totalsRowDxfId="2257">
      <calculatedColumnFormula>COUNTIFS(Table2[Course Title],Table3112[[#This Row],[Courses - Planned vs Need (Active Courses)]],Table2[Open Quotas],"0")</calculatedColumnFormula>
    </tableColumn>
    <tableColumn id="5" xr3:uid="{00000000-0010-0000-0400-000005000000}" name="Online" totalsRowFunction="sum" dataDxfId="2256" totalsRowDxfId="2255">
      <calculatedColumnFormula>COUNTIFS(Table2[Course Title],Table3112[[#This Row],[Courses - Planned vs Need (Active Courses)]],Table2[Location],"Global Online",Table2[Open Quotas],"0")</calculatedColumnFormula>
    </tableColumn>
    <tableColumn id="6" xr3:uid="{00000000-0010-0000-0400-000006000000}" name="Resident" totalsRowFunction="sum" dataDxfId="2254" totalsRowDxfId="2253">
      <calculatedColumnFormula>Table3112[[#This Row],[Course Offerings Todate]]-Table3112[[#This Row],[Online]]</calculatedColumnFormula>
    </tableColumn>
    <tableColumn id="14" xr3:uid="{00000000-0010-0000-0400-00000E000000}" name="Quotas Per Convening" dataDxfId="2252" totalsRowDxfId="2251"/>
    <tableColumn id="9" xr3:uid="{00000000-0010-0000-0400-000009000000}" name="Quotas Provided" dataDxfId="2250" totalsRowDxfId="2249">
      <calculatedColumnFormula>Table3112[[#This Row],[Course Offerings Todate]]*Table3112[[#This Row],[Quotas Per Convening]]</calculatedColumnFormula>
    </tableColumn>
    <tableColumn id="13" xr3:uid="{00000000-0010-0000-0400-00000D000000}" name="Quotas Used" dataDxfId="2248" totalsRowDxfId="2247">
      <calculatedColumnFormula>SUM(Table3112[[#This Row],[Total Grads]]+Table3112[[#This Row],[Fails]]+Table3112[[#This Row],[No Shows]])</calculatedColumnFormula>
    </tableColumn>
    <tableColumn id="10" xr3:uid="{00000000-0010-0000-0400-00000A000000}" name="Total Grads" totalsRowFunction="sum" dataDxfId="2246" totalsRowDxfId="2245">
      <calculatedColumnFormula>SUMIF(Table2[Course Title],Table3112[[#This Row],[Courses - Planned vs Need (Active Courses)]],Table2[Graduates])</calculatedColumnFormula>
    </tableColumn>
    <tableColumn id="7" xr3:uid="{00000000-0010-0000-0400-000007000000}" name="Fails" dataDxfId="2244" totalsRowDxfId="2243">
      <calculatedColumnFormula>SUMIF(Table2[Course Title],Table3112[[#This Row],[Courses - Planned vs Need (Active Courses)]],Table2[Fail])</calculatedColumnFormula>
    </tableColumn>
    <tableColumn id="11" xr3:uid="{00000000-0010-0000-0400-00000B000000}" name="No Shows" totalsRowFunction="sum" dataDxfId="2242">
      <calculatedColumnFormula>SUMIF(Table2[Course Title],Table3112[[#This Row],[Courses - Planned vs Need (Active Courses)]],Table2[No Shows])</calculatedColumnFormula>
    </tableColumn>
    <tableColumn id="12" xr3:uid="{00000000-0010-0000-0400-00000C000000}" name="Walk-ins" totalsRowFunction="sum" dataDxfId="2241">
      <calculatedColumnFormula>SUMIF(Table2[Course Title],Table3112[[#This Row],[Courses - Planned vs Need (Active Courses)]],Table2[Walk-ins])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0B422C7-8178-4A6E-A6BE-A72526B3692B}" name="Table6" displayName="Table6" ref="A3:Y15" totalsRowShown="0">
  <autoFilter ref="A3:Y15" xr:uid="{90B422C7-8178-4A6E-A6BE-A72526B3692B}"/>
  <sortState xmlns:xlrd2="http://schemas.microsoft.com/office/spreadsheetml/2017/richdata2" ref="A4:Y15">
    <sortCondition ref="K3:K15"/>
  </sortState>
  <tableColumns count="25">
    <tableColumn id="1" xr3:uid="{3D421DA6-E286-4B67-8246-33AE44F93D2F}" name="Command"/>
    <tableColumn id="2" xr3:uid="{921A1960-5C85-47F7-9734-14D85D21B7C1}" name="Location/Course Title"/>
    <tableColumn id="3" xr3:uid="{91B0E971-9D0F-48B6-A535-6B82B0B56CC0}" name="Asbestos Inspector"/>
    <tableColumn id="4" xr3:uid="{4C4B0716-6733-4F34-9EA0-6EDBA6EAEB43}" name="Asbestos Inspector Refresher"/>
    <tableColumn id="5" xr3:uid="{E977899F-A981-4606-8EFC-275BA329972B}" name="Asbestos Management Planner"/>
    <tableColumn id="6" xr3:uid="{E3F8035B-0CAC-422B-A4E7-60BF4F0AF8A0}" name="Asbestos Management Planner Refresher"/>
    <tableColumn id="7" xr3:uid="{E593043C-2002-4307-8639-EAEF02A5620E}" name="Asbestos Supervisor Initial"/>
    <tableColumn id="8" xr3:uid="{623059BD-D728-4D4A-A480-8DC11999F6C7}" name="Asbestos Supervisor Refresher"/>
    <tableColumn id="9" xr3:uid="{1E03F65C-2F06-482A-88B6-F97E68D0DFF8}" name="Competent Person for Fall Protection Course"/>
    <tableColumn id="10" xr3:uid="{07D3A5B0-0954-40B1-A8B0-A0279674F14D}" name="Confined Space Safety "/>
    <tableColumn id="11" xr3:uid="{E83727AD-5754-4E02-88F9-29DD47D5CA2B}" name="Construction Safety Standards"/>
    <tableColumn id="12" xr3:uid="{E2AEE1AB-461C-4C4B-B2CC-7EBA492E6979}" name="Emergency Asbestos Response Team"/>
    <tableColumn id="13" xr3:uid="{88D2550D-8290-4EB1-B606-37851D750C83}" name="Facility Response Team Five Day"/>
    <tableColumn id="14" xr3:uid="{A4D018A5-676E-4DF3-960E-634DF99D82F2}" name="Facility Response Team Three Day"/>
    <tableColumn id="15" xr3:uid="{51959371-55AE-47CD-BB01-EC7069AC59EA}" name="Fire Protection &amp; Life Safety"/>
    <tableColumn id="16" xr3:uid="{822E7226-EA13-4D29-AD19-AD29B9833EC2}" name="Hazardous Substance Incident Response Management"/>
    <tableColumn id="17" xr3:uid="{70321E44-8FC6-45E3-B220-2F0497B8285E}" name="Hazardous Substance Incident Response Management  Refresher"/>
    <tableColumn id="18" xr3:uid="{6AC8210E-8DBE-47FB-9AF1-E64BE72B883D}" name="Incident Command System 300 "/>
    <tableColumn id="19" xr3:uid="{61262390-9253-4766-A970-CE0BB066ADF2}" name="Incident Command System 300 Refresher"/>
    <tableColumn id="20" xr3:uid="{14EAFBDA-7A22-44F4-BB3E-37469E8EADE4}" name="Incident Command System 400 "/>
    <tableColumn id="21" xr3:uid="{A14D8C2D-AA3E-4CAF-859D-13E872D3F02C}" name="Industrial Noise and Hearing Conservation Program"/>
    <tableColumn id="22" xr3:uid="{8AC9B75B-19E2-4D61-8988-C190853B6A4C}" name="Oil Hazardous Substance Spill Response Tabletop Exercise "/>
    <tableColumn id="23" xr3:uid="{9EF6440F-CE15-4612-B188-20BD6CE9C980}" name="Respiratory Protection Program Management"/>
    <tableColumn id="24" xr3:uid="{3A2B8E6F-9652-4E82-BECC-9FC509EBDCF7}" name="Tank Managers Course"/>
    <tableColumn id="25" xr3:uid="{72BD6C81-8E37-4164-BC51-BBC6EB7319E9}" name="Total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4D3AAA6-D87B-4AD0-B345-E17FCDBF3401}" name="Table7" displayName="Table7" ref="A3:Y15" totalsRowShown="0">
  <autoFilter ref="A3:Y15" xr:uid="{F4D3AAA6-D87B-4AD0-B345-E17FCDBF3401}"/>
  <sortState xmlns:xlrd2="http://schemas.microsoft.com/office/spreadsheetml/2017/richdata2" ref="A4:Y15">
    <sortCondition ref="I3:I15"/>
  </sortState>
  <tableColumns count="25">
    <tableColumn id="1" xr3:uid="{E766E59A-8A96-4795-A6BB-730C8F5B3D92}" name="Command"/>
    <tableColumn id="2" xr3:uid="{92536367-24D1-4DFE-896C-975BCBFB7935}" name="Location/Course Title"/>
    <tableColumn id="3" xr3:uid="{35476E06-EEB0-4680-A712-20D90362147B}" name="Asbestos Inspector"/>
    <tableColumn id="4" xr3:uid="{5CF48CA8-321C-46F3-BCB6-297439F12BBB}" name="Asbestos Inspector Refresher"/>
    <tableColumn id="5" xr3:uid="{F2E00528-D4FF-40E8-A17E-D1538CE63758}" name="Asbestos Management Planner"/>
    <tableColumn id="6" xr3:uid="{E1C991AD-491D-4E1E-B8EF-C7884AF716BD}" name="Asbestos Management Planner Refresher"/>
    <tableColumn id="7" xr3:uid="{132A6DCF-684F-4B22-8880-BE73BAD809CE}" name="Asbestos Supervisor Initial"/>
    <tableColumn id="8" xr3:uid="{2BAB1A3F-55A5-44B0-9C9D-547BC149648B}" name="Asbestos Supervisor Refresher"/>
    <tableColumn id="9" xr3:uid="{A28B2E9A-7F80-4DCC-A7D8-761B9D752676}" name="Competent Person for Fall Protection Course"/>
    <tableColumn id="10" xr3:uid="{AC1AE372-2363-46ED-ADD0-5C90973A232B}" name="Confined Space Safety "/>
    <tableColumn id="11" xr3:uid="{CE1EAF60-5EF0-4BE8-8BA7-FFE8622BCDDD}" name="Construction Safety Standards"/>
    <tableColumn id="12" xr3:uid="{0D3E761F-0C28-44A3-AAD2-FD4A13DDDD87}" name="Emergency Asbestos Response Team"/>
    <tableColumn id="13" xr3:uid="{224BA0B1-C48B-4C7B-94B6-EBFED82DC4BB}" name="Facility Response Team Five Day"/>
    <tableColumn id="14" xr3:uid="{3553C414-676A-4C61-AEBB-9264184FBFAD}" name="Facility Response Team Three Day"/>
    <tableColumn id="15" xr3:uid="{5AB617AB-665A-411D-93DB-8F26EA67DADD}" name="Fire Protection &amp; Life Safety"/>
    <tableColumn id="16" xr3:uid="{128A4561-D818-4368-B51E-256E2F660A90}" name="Hazardous Substance Incident Response Management"/>
    <tableColumn id="17" xr3:uid="{094F4E89-A5D1-4650-81F5-D3B427C63428}" name="Hazardous Substance Incident Response Management  Refresher"/>
    <tableColumn id="18" xr3:uid="{24FB481A-1B5D-4A67-A940-92A6419FA7FB}" name="Incident Command System 300 "/>
    <tableColumn id="19" xr3:uid="{02A6E327-1665-4258-9619-4589D41AF807}" name="Incident Command System 300 Refresher"/>
    <tableColumn id="20" xr3:uid="{719AB886-8D3B-4B5B-AE83-55DADCD0442A}" name="Incident Command System 400 "/>
    <tableColumn id="21" xr3:uid="{278FD186-93E5-40EB-8010-BE9AA760A2FC}" name="Industrial Noise and Hearing Conservation Program"/>
    <tableColumn id="22" xr3:uid="{C28E94D3-DFE4-463F-AC43-02B42E4D1A03}" name="Oil Hazardous Substance Spill Response Tabletop Exercise "/>
    <tableColumn id="23" xr3:uid="{33587C8E-A082-433E-9D5B-76276FA572A1}" name="Respiratory Protection Program Management"/>
    <tableColumn id="24" xr3:uid="{D2B92A64-1E79-4B5B-9665-A68EF87B6879}" name="Tank Managers Course"/>
    <tableColumn id="25" xr3:uid="{57AD49A1-B2F2-4975-A748-CE6475F1001E}" name="Total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BDB62BC-12AB-41C4-B63B-93E766567BDD}" name="Table12" displayName="Table12" ref="A3:H16" totalsRowShown="0">
  <autoFilter ref="A3:H16" xr:uid="{3BDB62BC-12AB-41C4-B63B-93E766567BDD}"/>
  <sortState xmlns:xlrd2="http://schemas.microsoft.com/office/spreadsheetml/2017/richdata2" ref="A4:H16">
    <sortCondition ref="C3:C16"/>
  </sortState>
  <tableColumns count="8">
    <tableColumn id="1" xr3:uid="{69BAA560-E615-4C4C-A6C6-92AD5BEC184D}" name="Command"/>
    <tableColumn id="2" xr3:uid="{B973BD34-E7DF-4943-9A73-B8424CAE24BE}" name="Course Title/Preferred Time Zone"/>
    <tableColumn id="3" xr3:uid="{CF04A1E6-C0C9-4D24-A5A2-F66463CC66B8}" name="AST (Arabian Standard Time)"/>
    <tableColumn id="4" xr3:uid="{0A94480C-449F-4ECB-A8ED-930438B9E7F4}" name="CET/CEST (Central European Standard Time)"/>
    <tableColumn id="5" xr3:uid="{A93F64DD-E57D-4286-BE27-105865660EDE}" name="EST/EDT (Eastern Standard Time)"/>
    <tableColumn id="6" xr3:uid="{B55EBEDB-2D9B-4A47-855C-C4649890C138}" name="HST (Hawaii Standard Time)"/>
    <tableColumn id="7" xr3:uid="{67ABF3DC-D55A-4B8F-9C58-12EE306A5D84}" name="JST (Japan Standard Time)"/>
    <tableColumn id="8" xr3:uid="{B142A742-C3F1-457B-9536-9DF04C44A114}" name="PST/PDT (Pacific Standard Time)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3A3C4CD-1AEA-456F-8412-1F06E9A3464F}" name="Table210" displayName="Table210" ref="A3:AA98" totalsRowCount="1" headerRowDxfId="2239" dataDxfId="2237" totalsRowDxfId="2236" headerRowBorderDxfId="2238">
  <autoFilter ref="A3:AA97" xr:uid="{00000000-0009-0000-0100-000002000000}"/>
  <sortState xmlns:xlrd2="http://schemas.microsoft.com/office/spreadsheetml/2017/richdata2" ref="A4:AA97">
    <sortCondition ref="B3:B97"/>
  </sortState>
  <tableColumns count="27">
    <tableColumn id="1" xr3:uid="{BAAFD926-C9A0-428C-B15B-5AE0D4441A78}" name="Comments" totalsRowLabel="Total" dataDxfId="2235" totalsRowDxfId="2234"/>
    <tableColumn id="2" xr3:uid="{C9C57765-0894-4081-B097-E75909F9477E}" name="Course Title" totalsRowFunction="count" dataDxfId="2233" totalsRowDxfId="2232"/>
    <tableColumn id="3" xr3:uid="{9AD2E90B-E624-4AD8-AA66-86C468D308B6}" name="CIN" dataDxfId="2231" totalsRowDxfId="2230"/>
    <tableColumn id="4" xr3:uid="{2059424E-4D38-4A3D-A11E-FB5EAA05A845}" name="CDP " dataDxfId="2229" totalsRowDxfId="2228"/>
    <tableColumn id="5" xr3:uid="{F7F4FA51-D11C-4625-B18C-A9D9123D27AB}" name="Location" dataDxfId="2227" totalsRowDxfId="2226"/>
    <tableColumn id="6" xr3:uid="{5E81E744-317D-463F-9389-C5B09B3DF59A}" name="Start Date" dataDxfId="2225" totalsRowDxfId="2224"/>
    <tableColumn id="7" xr3:uid="{497A73EC-3068-4F85-8286-58EBC84E5760}" name="End Date" dataDxfId="2223" totalsRowDxfId="2222"/>
    <tableColumn id="26" xr3:uid="{38300BF7-BB27-404B-8134-9D9CA61B2979}" name="Resident Local Start Time of location" dataDxfId="2221" totalsRowDxfId="2220"/>
    <tableColumn id="32" xr3:uid="{25F8C40B-A54D-4C3B-8AF7-ED62F5050D03}" name="EST/EDT Local Live Session Start Time " dataDxfId="2219" totalsRowDxfId="2218"/>
    <tableColumn id="28" xr3:uid="{D52CFE58-A040-46A0-87D4-3CF2E58CAD91}" name="PST/PDT Local Live Session Start Time " dataDxfId="2217" totalsRowDxfId="2216"/>
    <tableColumn id="29" xr3:uid="{27BBFDE4-5D64-451B-AE0D-58261BD2FB64}" name="AST Local Live Session Start Time " dataDxfId="2215" totalsRowDxfId="2214"/>
    <tableColumn id="30" xr3:uid="{FE06AA5B-6C4A-4CD0-BD20-35D0B5B2FAB3}" name="CET/CEST Local Live Session Start Time " dataDxfId="2213" totalsRowDxfId="2212"/>
    <tableColumn id="27" xr3:uid="{AFDE156D-3260-4D6D-AF9C-E213438F87FC}" name="HST Local Live Session Start Time " dataDxfId="2211" totalsRowDxfId="2210"/>
    <tableColumn id="31" xr3:uid="{4CB8A3F0-7857-414F-8249-9D81779473BC}" name="JST Local Live Session Start Time " dataDxfId="2209" totalsRowDxfId="2208"/>
    <tableColumn id="8" xr3:uid="{74037211-E78B-4B02-8F45-4BAF18730BA6}" name="Primary Instructor" dataDxfId="2207" totalsRowDxfId="2206"/>
    <tableColumn id="9" xr3:uid="{99231029-F15D-47CD-8C8B-207611B0BFBB}" name="Instructor 2" dataDxfId="2205" totalsRowDxfId="2204"/>
    <tableColumn id="22" xr3:uid="{47D38A33-73A7-4413-BB6A-5C3FB5FBAA12}" name="Quotas" totalsRowFunction="custom" dataDxfId="2203" totalsRowDxfId="2202">
      <totalsRowFormula>SUBTOTAL(109,Q4:Q97)</totalsRowFormula>
    </tableColumn>
    <tableColumn id="10" xr3:uid="{C018C331-9720-40EE-B6A0-B97372963E2F}" name="Course Length (Days)" totalsRowFunction="sum" dataDxfId="2201" totalsRowDxfId="2200"/>
    <tableColumn id="16" xr3:uid="{376DFCC7-8235-4054-B060-C1BE514DC236}" name="Graduates" totalsRowFunction="custom" dataDxfId="2199" totalsRowDxfId="2198">
      <totalsRowFormula>SUBTOTAL(109,S4:S97)</totalsRowFormula>
    </tableColumn>
    <tableColumn id="17" xr3:uid="{3281B6D9-AEA6-4B9E-B002-4AB8024BDB53}" name="Fail" totalsRowFunction="custom" dataDxfId="2197" totalsRowDxfId="2196">
      <totalsRowFormula>SUBTOTAL(109,T4:T97)</totalsRowFormula>
    </tableColumn>
    <tableColumn id="18" xr3:uid="{746F0B67-7804-4CE8-A1B3-410E28E6D21C}" name="No Shows" totalsRowFunction="custom" dataDxfId="2195" totalsRowDxfId="2194">
      <totalsRowFormula>SUBTOTAL(109,U4:U97)</totalsRowFormula>
    </tableColumn>
    <tableColumn id="19" xr3:uid="{4DA2642C-2B8C-4ED7-B8D2-0280EBB93A1A}" name="Walk-ins" totalsRowFunction="custom" dataDxfId="2193" totalsRowDxfId="2192">
      <totalsRowFormula>SUBTOTAL(109,V4:V97)</totalsRowFormula>
    </tableColumn>
    <tableColumn id="20" xr3:uid="{E7FB79F0-1B30-401D-BBEA-45BCD5DDB5D6}" name="Foreign Grads" totalsRowFunction="custom" dataDxfId="2191" totalsRowDxfId="2190">
      <totalsRowFormula>SUBTOTAL(109,W4:W97)</totalsRowFormula>
    </tableColumn>
    <tableColumn id="21" xr3:uid="{3004AB1E-319E-4220-816D-F0FF56E63E83}" name="Roster Received By" totalsRowFunction="count" dataDxfId="2189" totalsRowDxfId="2188"/>
    <tableColumn id="23" xr3:uid="{5E958FDC-F631-4C7F-A94B-08800003986B}" name="Roster Due" dataDxfId="2187" totalsRowDxfId="2186">
      <calculatedColumnFormula>Table210[[#This Row],[End Date]]+2-TODAY()</calculatedColumnFormula>
    </tableColumn>
    <tableColumn id="24" xr3:uid="{E703E1BA-4AC8-480D-855F-DF04885D67E2}" name="Roster Status" dataDxfId="2185" totalsRowDxfId="2184">
      <calculatedColumnFormula>IF(ISBLANK(Table210[[#This Row],[Roster Received By]]),1,0)</calculatedColumnFormula>
    </tableColumn>
    <tableColumn id="25" xr3:uid="{F4B656DB-AFB0-4A51-81AA-302D7743E75A}" name="Remaining Courses" dataDxfId="2183" totalsRowDxfId="2182">
      <calculatedColumnFormula>IF(Table210[[#This Row],[Start Date]]&gt;TODAY(),1,)</calculatedColumnFormula>
    </tableColumn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86E6F5B-088A-40BF-9C3A-F5C6AB6AA07B}" name="Table25" displayName="Table25" ref="A3:AA459" totalsRowCount="1" headerRowDxfId="2181" dataDxfId="2179" totalsRowDxfId="2178" headerRowBorderDxfId="2180">
  <autoFilter ref="A3:AA458" xr:uid="{00000000-0009-0000-0100-000002000000}">
    <filterColumn colId="1">
      <filters>
        <filter val="Respiratory Protection Program Management"/>
      </filters>
    </filterColumn>
  </autoFilter>
  <sortState xmlns:xlrd2="http://schemas.microsoft.com/office/spreadsheetml/2017/richdata2" ref="A4:AA458">
    <sortCondition ref="E3:E458"/>
  </sortState>
  <tableColumns count="27">
    <tableColumn id="1" xr3:uid="{C2342F55-DFE4-488E-B515-415ECDB9DFEE}" name="Comments" totalsRowLabel="Total" dataDxfId="2177" totalsRowDxfId="2176"/>
    <tableColumn id="2" xr3:uid="{FADA44B4-44D0-4589-ACE3-E057D0EE9ED2}" name="Course Title" totalsRowFunction="count" dataDxfId="2175" totalsRowDxfId="2174"/>
    <tableColumn id="3" xr3:uid="{9036CA69-9069-4D5E-874C-7662361EE35C}" name="CIN" dataDxfId="2173" totalsRowDxfId="2172"/>
    <tableColumn id="4" xr3:uid="{F6D05D52-65CC-46CE-A322-D3833B543092}" name="CDP " dataDxfId="2171" totalsRowDxfId="2170"/>
    <tableColumn id="5" xr3:uid="{84494C77-A354-48DD-A68C-B34126F79399}" name="Location" dataDxfId="2169" totalsRowDxfId="2168"/>
    <tableColumn id="6" xr3:uid="{6B344705-02DB-4A3E-B950-29A59BECB7AE}" name="Start Date" dataDxfId="2167" totalsRowDxfId="2166"/>
    <tableColumn id="7" xr3:uid="{A94CB4AD-FEBF-4542-9853-FE4AFAB695DD}" name="End Date" dataDxfId="2165" totalsRowDxfId="2164"/>
    <tableColumn id="26" xr3:uid="{CEE49FCC-B7FD-48D9-86A7-497778C9B402}" name="Resident Local Start Time of location" dataDxfId="2163" totalsRowDxfId="2162"/>
    <tableColumn id="32" xr3:uid="{28D528AC-46D1-4984-89F5-C8AA57BB3C78}" name="EST/EDT Local Live Session Start Time " dataDxfId="2161" totalsRowDxfId="2160"/>
    <tableColumn id="28" xr3:uid="{CCD46A9A-8C5F-4B65-A2E4-15C78A2EFFDE}" name="PST/PDT Local Live Session Start Time " dataDxfId="2159" totalsRowDxfId="2158"/>
    <tableColumn id="29" xr3:uid="{993A5040-29B2-4086-8997-65ECC5101CE9}" name="AST Local Live Session Start Time " dataDxfId="2157" totalsRowDxfId="2156"/>
    <tableColumn id="30" xr3:uid="{F63275D8-949E-444B-B741-EB3B1B312C30}" name="CET/CEST Local Live Session Start Time " dataDxfId="2155" totalsRowDxfId="2154"/>
    <tableColumn id="27" xr3:uid="{1F2AC858-CEFC-461C-BEB6-3F9F980B98D0}" name="HST Local Live Session Start Time " dataDxfId="2153" totalsRowDxfId="2152"/>
    <tableColumn id="31" xr3:uid="{811944FF-34B9-4111-9789-402790D81347}" name="JST Local Live Session Start Time " dataDxfId="2151" totalsRowDxfId="2150"/>
    <tableColumn id="8" xr3:uid="{26A837A7-512E-4002-A5EA-E17F742A40B3}" name="Primary Instructor" dataDxfId="2149" totalsRowDxfId="2148"/>
    <tableColumn id="9" xr3:uid="{110ADADB-8A5F-413E-9B6D-D3510F201E55}" name="Instructor 2" dataDxfId="2147" totalsRowDxfId="2146"/>
    <tableColumn id="22" xr3:uid="{314E8877-A83D-4F89-9A04-C49FA04A9C00}" name="Quotas" totalsRowFunction="custom" dataDxfId="2145" totalsRowDxfId="2144">
      <totalsRowFormula>SUBTOTAL(109,Q4:Q458)</totalsRowFormula>
    </tableColumn>
    <tableColumn id="10" xr3:uid="{070B6AB2-187B-4D15-8583-80D8D7BAEF51}" name="Course Length (Days)" totalsRowFunction="sum" dataDxfId="2143" totalsRowDxfId="2142"/>
    <tableColumn id="16" xr3:uid="{59EF79D6-4759-4961-B4E4-C84D569CC012}" name="Graduates" totalsRowFunction="custom" dataDxfId="2141" totalsRowDxfId="2140">
      <totalsRowFormula>SUBTOTAL(109,S4:S458)</totalsRowFormula>
    </tableColumn>
    <tableColumn id="17" xr3:uid="{456FDA1F-D6E9-4ADB-8ED7-487AD8006452}" name="Fail" totalsRowFunction="custom" dataDxfId="2139" totalsRowDxfId="2138">
      <totalsRowFormula>SUBTOTAL(109,T4:T458)</totalsRowFormula>
    </tableColumn>
    <tableColumn id="18" xr3:uid="{E99A8EEE-FD20-4520-8338-07DE4C36BB10}" name="No Shows" totalsRowFunction="custom" dataDxfId="2137" totalsRowDxfId="2136">
      <totalsRowFormula>SUBTOTAL(109,U4:U458)</totalsRowFormula>
    </tableColumn>
    <tableColumn id="19" xr3:uid="{F6D0F8D9-B85B-4A04-B855-7C32689CC1D3}" name="Walk-ins" totalsRowFunction="custom" dataDxfId="2135" totalsRowDxfId="2134">
      <totalsRowFormula>SUBTOTAL(109,V4:V458)</totalsRowFormula>
    </tableColumn>
    <tableColumn id="20" xr3:uid="{2972677F-C901-4563-B7AA-465DF536AC9B}" name="Foreign Grads" totalsRowFunction="custom" dataDxfId="2133" totalsRowDxfId="2132">
      <totalsRowFormula>SUBTOTAL(109,W4:W458)</totalsRowFormula>
    </tableColumn>
    <tableColumn id="21" xr3:uid="{998C0827-BA12-4F50-BEA2-964641788D4D}" name="Roster Received By" totalsRowFunction="count" dataDxfId="2131" totalsRowDxfId="2130"/>
    <tableColumn id="23" xr3:uid="{82FA31EB-B1DA-4D72-BC1B-6A746B50E502}" name="Roster Due" dataDxfId="2129" totalsRowDxfId="2128">
      <calculatedColumnFormula>Table25[[#This Row],[End Date]]+2-TODAY()</calculatedColumnFormula>
    </tableColumn>
    <tableColumn id="24" xr3:uid="{06F0B8B2-51E0-478B-A50A-B49B83291699}" name="Roster Status" dataDxfId="2127" totalsRowDxfId="2126">
      <calculatedColumnFormula>IF(ISBLANK(Table25[[#This Row],[Roster Received By]]),1,0)</calculatedColumnFormula>
    </tableColumn>
    <tableColumn id="25" xr3:uid="{2C2F4313-A044-43BA-9248-3798C2B624F2}" name="Remaining Courses" dataDxfId="2125" totalsRowDxfId="2124">
      <calculatedColumnFormula>IF(Table25[[#This Row],[Start Date]]&gt;TODAY(),1,)</calculatedColumnFormula>
    </tableColumn>
  </tableColumns>
  <tableStyleInfo name="TableStyleMedium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85C658B-52C9-44EA-956B-750298760CCD}" name="Table24" displayName="Table24" ref="A3:AA459" totalsRowCount="1" headerRowDxfId="2123" dataDxfId="2121" totalsRowDxfId="2120" headerRowBorderDxfId="2122">
  <autoFilter ref="A3:AA458" xr:uid="{00000000-0009-0000-0100-000002000000}"/>
  <sortState xmlns:xlrd2="http://schemas.microsoft.com/office/spreadsheetml/2017/richdata2" ref="A4:AF458">
    <sortCondition ref="F3:F458"/>
  </sortState>
  <tableColumns count="27">
    <tableColumn id="1" xr3:uid="{79149F88-7EB9-4500-98DE-34ACE96F92DF}" name="Comments" totalsRowLabel="Total" dataDxfId="2119" totalsRowDxfId="2118"/>
    <tableColumn id="2" xr3:uid="{F6626155-689F-42BD-B038-A9B6806D808B}" name="Course Title" totalsRowFunction="count" dataDxfId="2117" totalsRowDxfId="2116"/>
    <tableColumn id="3" xr3:uid="{2BC95441-E66A-4135-8D3C-CDB15DB807EB}" name="CIN" dataDxfId="2115" totalsRowDxfId="2114"/>
    <tableColumn id="4" xr3:uid="{5F4B4B93-BD47-404A-8200-98910040B224}" name="CDP " dataDxfId="2113" totalsRowDxfId="2112"/>
    <tableColumn id="5" xr3:uid="{75B93F82-D13A-48E6-A447-867B8BB4C082}" name="Location" dataDxfId="2111" totalsRowDxfId="2110"/>
    <tableColumn id="6" xr3:uid="{86ACFDED-2593-4FC8-81CA-6390274D7A4F}" name="Start Date" dataDxfId="2109" totalsRowDxfId="2108"/>
    <tableColumn id="7" xr3:uid="{A6DA2D01-C088-4F58-8562-2F71A85EC272}" name="End Date" dataDxfId="2107" totalsRowDxfId="2106"/>
    <tableColumn id="26" xr3:uid="{2D89D048-98FA-4BEA-AF58-DD1A02D5E0E9}" name="Resident Local Start Time of location" dataDxfId="2105" totalsRowDxfId="2104"/>
    <tableColumn id="32" xr3:uid="{63F1EBA8-4CC8-40EB-B334-FDEC4434C6F8}" name="EST/EDT Local Live Session Start Time " dataDxfId="2103" totalsRowDxfId="2102"/>
    <tableColumn id="28" xr3:uid="{1D59791F-65C2-4033-BA1D-526F41A66111}" name="PST/PDT Local Live Session Start Time " dataDxfId="2101" totalsRowDxfId="2100"/>
    <tableColumn id="29" xr3:uid="{FDBC9AC7-3DA8-4EDC-B313-6C1EC42A0724}" name="AST Local Live Session Start Time " dataDxfId="2099" totalsRowDxfId="2098"/>
    <tableColumn id="30" xr3:uid="{B4537B98-89A4-4540-9610-33CC67D27420}" name="CET/CEST Local Live Session Start Time " dataDxfId="2097" totalsRowDxfId="2096"/>
    <tableColumn id="27" xr3:uid="{DC4F443E-C5C8-4650-985A-64A74A57F0ED}" name="HST Local Live Session Start Time " dataDxfId="2095" totalsRowDxfId="2094"/>
    <tableColumn id="31" xr3:uid="{A3EC9C9C-E6B5-400C-8DB0-D74AC3C55418}" name="JST Local Live Session Start Time " dataDxfId="2093" totalsRowDxfId="2092"/>
    <tableColumn id="8" xr3:uid="{BD02D554-0329-4AF6-8DCE-00A7A796FA67}" name="Primary Instructor" dataDxfId="2091" totalsRowDxfId="2090"/>
    <tableColumn id="9" xr3:uid="{6D45BB7D-3A95-43F2-8E16-75C8992FC1E6}" name="Instructor 2" dataDxfId="2089" totalsRowDxfId="2088"/>
    <tableColumn id="22" xr3:uid="{FB315DE8-C79B-4703-A2BA-1F6096A58C1C}" name="Quotas" totalsRowFunction="custom" dataDxfId="2087" totalsRowDxfId="2086">
      <totalsRowFormula>SUBTOTAL(109,Q4:Q458)</totalsRowFormula>
    </tableColumn>
    <tableColumn id="10" xr3:uid="{6FA31DB2-CC19-45F3-AC84-953C36C2A2CC}" name="Course Length (Days)" totalsRowFunction="sum" dataDxfId="2085" totalsRowDxfId="2084"/>
    <tableColumn id="16" xr3:uid="{7D216D85-CEB5-4FB8-8CE9-417C5E68CD91}" name="Graduates" totalsRowFunction="custom" dataDxfId="2083" totalsRowDxfId="2082">
      <totalsRowFormula>SUBTOTAL(109,S4:S458)</totalsRowFormula>
    </tableColumn>
    <tableColumn id="17" xr3:uid="{471F56FE-F439-4B07-921D-CBB3611086BE}" name="Fail" totalsRowFunction="custom" dataDxfId="2081" totalsRowDxfId="2080">
      <totalsRowFormula>SUBTOTAL(109,T4:T458)</totalsRowFormula>
    </tableColumn>
    <tableColumn id="18" xr3:uid="{CD9CAB05-4592-4199-97AF-F24CD2C37859}" name="No Shows" totalsRowFunction="custom" dataDxfId="2079" totalsRowDxfId="2078">
      <totalsRowFormula>SUBTOTAL(109,U4:U458)</totalsRowFormula>
    </tableColumn>
    <tableColumn id="19" xr3:uid="{E508046D-5F43-4F5D-ADC6-09456C05B40C}" name="Walk-ins" totalsRowFunction="custom" dataDxfId="2077" totalsRowDxfId="2076">
      <totalsRowFormula>SUBTOTAL(109,V4:V458)</totalsRowFormula>
    </tableColumn>
    <tableColumn id="20" xr3:uid="{16429556-E9E1-4650-9FA8-7E088FD9ED28}" name="Foreign Grads" totalsRowFunction="custom" dataDxfId="2075" totalsRowDxfId="2074">
      <totalsRowFormula>SUBTOTAL(109,W4:W458)</totalsRowFormula>
    </tableColumn>
    <tableColumn id="21" xr3:uid="{0CB98322-C372-4A0A-932D-68FE742BCA16}" name="Roster Received By" totalsRowFunction="count" dataDxfId="2073" totalsRowDxfId="2072"/>
    <tableColumn id="23" xr3:uid="{47BF087B-B81F-40F2-AD60-EE1F11A5135E}" name="Roster Due" dataDxfId="2071" totalsRowDxfId="2070">
      <calculatedColumnFormula>Table24[[#This Row],[End Date]]+2-TODAY()</calculatedColumnFormula>
    </tableColumn>
    <tableColumn id="24" xr3:uid="{402A7A19-6D60-4923-A13A-58BD63FC3167}" name="Roster Status" dataDxfId="2069" totalsRowDxfId="2068">
      <calculatedColumnFormula>IF(ISBLANK(Table24[[#This Row],[Roster Received By]]),1,0)</calculatedColumnFormula>
    </tableColumn>
    <tableColumn id="25" xr3:uid="{BC58C9C5-5716-41F8-BDD7-54CA141C56B2}" name="Remaining Courses" dataDxfId="2067" totalsRowDxfId="2066">
      <calculatedColumnFormula>IF(Table24[[#This Row],[Start Date]]&gt;TODAY(),1,)</calculatedColumnFormula>
    </tableColumn>
  </tableColumns>
  <tableStyleInfo name="TableStyleMedium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02DC828-C589-4D99-87A8-A672DC7588DB}" name="Table29" displayName="Table29" ref="A3:AA163" totalsRowCount="1" headerRowDxfId="2065" dataDxfId="2063" totalsRowDxfId="2062" headerRowBorderDxfId="2064">
  <autoFilter ref="A3:AA162" xr:uid="{00000000-000C-0000-FFFF-FFFF05000000}"/>
  <sortState xmlns:xlrd2="http://schemas.microsoft.com/office/spreadsheetml/2017/richdata2" ref="A4:AA162">
    <sortCondition ref="B3:B162"/>
  </sortState>
  <tableColumns count="27">
    <tableColumn id="1" xr3:uid="{1C63BBBF-F354-4DD8-97A5-E14E8DC06BD5}" name="Comments" totalsRowLabel="Total" dataDxfId="2061" totalsRowDxfId="2060"/>
    <tableColumn id="2" xr3:uid="{EC508BA6-6C72-4335-91E0-3C34E2FA5459}" name="Course Title" totalsRowFunction="count" dataDxfId="2059" totalsRowDxfId="2058"/>
    <tableColumn id="3" xr3:uid="{14C72745-D101-4D90-811B-D00E2A84DB86}" name="CIN" dataDxfId="2057" totalsRowDxfId="2056"/>
    <tableColumn id="4" xr3:uid="{BE43C45C-F539-4156-A513-F6F46D511BBF}" name="CDP " dataDxfId="2055" totalsRowDxfId="2054"/>
    <tableColumn id="5" xr3:uid="{EEA99D01-363C-402D-84CA-D2BA8060717B}" name="Location" dataDxfId="2053" totalsRowDxfId="2052"/>
    <tableColumn id="6" xr3:uid="{93912A40-5270-402E-9EB6-B7175BE72777}" name="5/5/2025" dataDxfId="2051" totalsRowDxfId="2050"/>
    <tableColumn id="7" xr3:uid="{D8270151-992F-4341-8241-43E92185F552}" name="5/9/2025" dataDxfId="2049" totalsRowDxfId="2048"/>
    <tableColumn id="26" xr3:uid="{D5E0F6FC-5AB0-4179-8C79-410B617C8137}" name="Resident Local Start Time of location" dataDxfId="2047" totalsRowDxfId="2046"/>
    <tableColumn id="32" xr3:uid="{DA8C4426-E87C-408D-AABA-5BE1F2F0E858}" name="EST/EDT Local Live Session Start Time " dataDxfId="2045" totalsRowDxfId="2044"/>
    <tableColumn id="28" xr3:uid="{52767868-9CC6-449B-9860-D651EE14A705}" name="PST/PDT Local Live Session Start Time " dataDxfId="2043" totalsRowDxfId="2042"/>
    <tableColumn id="29" xr3:uid="{BF01AB4E-5396-4307-BCD9-799BF9B3EDE9}" name="AST Local Live Session Start Time " dataDxfId="2041" totalsRowDxfId="2040"/>
    <tableColumn id="30" xr3:uid="{4F050953-EEEB-4365-8396-3D078FE84B26}" name="CET/CEST Local Live Session Start Time " dataDxfId="2039" totalsRowDxfId="2038"/>
    <tableColumn id="27" xr3:uid="{06592FA7-19AC-4CFE-B34A-B515EE59458F}" name="HST Local Live Session Start Time " dataDxfId="2037" totalsRowDxfId="2036"/>
    <tableColumn id="31" xr3:uid="{9A334D73-E6D4-4AAA-8B87-D2750573D432}" name="JST Local Live Session Start Time " dataDxfId="2035" totalsRowDxfId="2034"/>
    <tableColumn id="8" xr3:uid="{D50F1A1A-BAD0-4C81-B1AE-79BB42BAE0AB}" name="Primary Instructor" dataDxfId="2033" totalsRowDxfId="2032"/>
    <tableColumn id="9" xr3:uid="{44080DAF-27C5-42A6-B324-B71AA7B2D720}" name="Instructor 2" dataDxfId="2031" totalsRowDxfId="2030"/>
    <tableColumn id="22" xr3:uid="{1F2F7EA8-BFBA-4C90-9472-5AC738C1BDC9}" name="Quotas" totalsRowFunction="custom" dataDxfId="2029" totalsRowDxfId="2028">
      <totalsRowFormula>SUBTOTAL(109,Q4:Q162)</totalsRowFormula>
    </tableColumn>
    <tableColumn id="10" xr3:uid="{9682ED1C-EBEE-42D9-873B-DC07BF105003}" name="Course Length (Days)" totalsRowFunction="sum" dataDxfId="2027" totalsRowDxfId="2026"/>
    <tableColumn id="16" xr3:uid="{89EB158D-8004-44B7-BD60-DA7F8BD931E3}" name="Graduates" totalsRowFunction="custom" dataDxfId="2025" totalsRowDxfId="2024">
      <totalsRowFormula>SUBTOTAL(109,S4:S162)</totalsRowFormula>
    </tableColumn>
    <tableColumn id="17" xr3:uid="{5CE7BB19-592D-4A30-A3FC-93CB553BECF1}" name="Fail" totalsRowFunction="custom" dataDxfId="2023" totalsRowDxfId="2022">
      <totalsRowFormula>SUBTOTAL(109,T4:T162)</totalsRowFormula>
    </tableColumn>
    <tableColumn id="18" xr3:uid="{E969121D-9457-4E40-8774-BE009C76FE20}" name="No Shows" totalsRowFunction="custom" dataDxfId="2021" totalsRowDxfId="2020">
      <totalsRowFormula>SUBTOTAL(109,U4:U162)</totalsRowFormula>
    </tableColumn>
    <tableColumn id="19" xr3:uid="{59CBB9DB-0E58-45F1-949F-1DDBB3492686}" name="Walk-ins" totalsRowFunction="custom" dataDxfId="2019" totalsRowDxfId="2018">
      <totalsRowFormula>SUBTOTAL(109,V4:V162)</totalsRowFormula>
    </tableColumn>
    <tableColumn id="20" xr3:uid="{2F720BE5-6E9B-485D-A6F1-A12B193EFF55}" name="Foreign Grads" totalsRowFunction="custom" dataDxfId="2017" totalsRowDxfId="2016">
      <totalsRowFormula>SUBTOTAL(109,W4:W162)</totalsRowFormula>
    </tableColumn>
    <tableColumn id="21" xr3:uid="{2BA7E8B0-27F0-4CD2-A350-2024873826D4}" name="Roster Received By" totalsRowFunction="count" dataDxfId="2015" totalsRowDxfId="2014"/>
    <tableColumn id="23" xr3:uid="{8823BE56-DA54-47E0-89A0-59A877FAB73F}" name="Roster Due" dataDxfId="2013" totalsRowDxfId="2012">
      <calculatedColumnFormula>Table29[[#This Row],[5/9/2025]]+2-TODAY()</calculatedColumnFormula>
    </tableColumn>
    <tableColumn id="24" xr3:uid="{E18F92EF-46B0-4D15-B0E4-51F4BD1CF898}" name="Roster Status" dataDxfId="2011" totalsRowDxfId="2010">
      <calculatedColumnFormula>IF(ISBLANK(Table29[[#This Row],[Roster Received By]]),1,0)</calculatedColumnFormula>
    </tableColumn>
    <tableColumn id="25" xr3:uid="{BBFDC5C5-2741-4D98-92A9-5CAF33C3723D}" name="Remaining Courses" dataDxfId="2009" totalsRowDxfId="2008">
      <calculatedColumnFormula>IF(Table29[[#This Row],[5/5/2025]]&gt;TODAY(),1,)</calculatedColumnFormula>
    </tableColumn>
  </tableColumns>
  <tableStyleInfo name="TableStyleMedium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B8DAAA6-B7E9-46ED-93A3-B30D988DBD52}" name="Table11" displayName="Table11" ref="A3:Y16" totalsRowShown="0">
  <autoFilter ref="A3:Y16" xr:uid="{6B8DAAA6-B7E9-46ED-93A3-B30D988DBD52}"/>
  <sortState xmlns:xlrd2="http://schemas.microsoft.com/office/spreadsheetml/2017/richdata2" ref="A4:Y16">
    <sortCondition ref="R3:R16"/>
  </sortState>
  <tableColumns count="25">
    <tableColumn id="1" xr3:uid="{CDF5F771-AD95-4A46-9AE3-73CD6C0312AE}" name="Command"/>
    <tableColumn id="2" xr3:uid="{46F831B0-A1B3-451B-9702-71B4A5AD2810}" name="Location/Course Title"/>
    <tableColumn id="3" xr3:uid="{1D5AA204-6333-47C0-A18E-DF37AE2DC8C9}" name="Asbestos Inspector"/>
    <tableColumn id="4" xr3:uid="{E29B3809-4E14-46C6-B483-E5ABA6825C5B}" name="Asbestos Inspector Refresher"/>
    <tableColumn id="5" xr3:uid="{012FFC54-1F86-461F-9CAF-4874947EF0B8}" name="Asbestos Management Planner"/>
    <tableColumn id="6" xr3:uid="{2FE9E155-4CA0-4ED9-B8BF-34AF5CBFC9FA}" name="Asbestos Management Planner Refresher"/>
    <tableColumn id="7" xr3:uid="{AD414EC2-0976-45BD-93F7-0B4E047D7A22}" name="Asbestos Supervisor Initial"/>
    <tableColumn id="8" xr3:uid="{36507EE7-3AB9-4B70-BCFA-C86C679E2C56}" name="Asbestos Supervisor Refresher"/>
    <tableColumn id="9" xr3:uid="{49F8A813-45DE-40EC-8F5B-85500334DFCF}" name="Competent Person for Fall Protection Course"/>
    <tableColumn id="10" xr3:uid="{AA2C009E-A57E-4907-9851-9DE41E9E6D26}" name="Confined Space Safety "/>
    <tableColumn id="11" xr3:uid="{3F2E6A39-03F0-4934-BB86-5938D558E026}" name="Construction Safety Standards"/>
    <tableColumn id="12" xr3:uid="{CA23CE34-B319-4A38-B43F-BA77C967C4DB}" name="Emergency Asbestos Response Team"/>
    <tableColumn id="13" xr3:uid="{E77D8881-37E0-4F1B-88AB-5431B9785B97}" name="Facility Response Team Five Day"/>
    <tableColumn id="14" xr3:uid="{01B31410-72C9-45A4-AFDD-5E754ED342F3}" name="Facility Response Team Three Day"/>
    <tableColumn id="15" xr3:uid="{20993F47-1F49-46A4-86E3-6050C6EA9745}" name="Fire Protection &amp; Life Safety"/>
    <tableColumn id="16" xr3:uid="{5C00E780-0E8C-429A-85B3-80E5B74B8005}" name="Hazardous Substance Incident Response Management"/>
    <tableColumn id="17" xr3:uid="{20DEC377-DF65-419B-B124-C3615DC4E93F}" name="Hazardous Substance Incident Response Management  Refresher"/>
    <tableColumn id="18" xr3:uid="{97CB522F-60D0-4F5E-BCFE-BA1EDE69908A}" name="Incident Command System 300 "/>
    <tableColumn id="19" xr3:uid="{4711C7D9-A517-4747-B51C-2E09614D7834}" name="Incident Command System 300 Refresher"/>
    <tableColumn id="20" xr3:uid="{56398BD3-BD08-4813-81D2-AAC365976642}" name="Incident Command System 400 "/>
    <tableColumn id="21" xr3:uid="{9F4CFF51-DA05-4690-86C3-371F9E2A61CA}" name="Industrial Noise and Hearing Conservation Program"/>
    <tableColumn id="22" xr3:uid="{EBABE466-8182-4359-B99E-6B6659007381}" name="Oil Hazardous Substance Spill Response Tabletop Exercise "/>
    <tableColumn id="23" xr3:uid="{1649359E-F490-4C42-BF94-7D9080A5DCF6}" name="Respiratory Protection Program Management"/>
    <tableColumn id="24" xr3:uid="{0D475DC8-8292-4E05-A7FD-B2D28DEA2BAE}" name="Tank Managers Course"/>
    <tableColumn id="25" xr3:uid="{380ECDA6-0033-412A-9B47-F3AC5403B3BA}" name="Totals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3000000}" name="Table311" displayName="Table311" ref="B4:AA54" headerRowDxfId="2007" dataDxfId="2006" totalsRowDxfId="2004" tableBorderDxfId="2005" totalsRowBorderDxfId="2003">
  <autoFilter ref="B4:AA54" xr:uid="{00000000-0009-0000-0100-00000A000000}"/>
  <sortState xmlns:xlrd2="http://schemas.microsoft.com/office/spreadsheetml/2017/richdata2" ref="B5:AA54">
    <sortCondition ref="B4:B54"/>
  </sortState>
  <tableColumns count="26">
    <tableColumn id="1" xr3:uid="{00000000-0010-0000-0300-000001000000}" name="Courses - Planned vs Need (Active Courses)" totalsRowLabel="Total" dataDxfId="2002" totalsRowDxfId="2001"/>
    <tableColumn id="2" xr3:uid="{00000000-0010-0000-0300-000002000000}" name="CTR" dataDxfId="2000" totalsRowDxfId="1999"/>
    <tableColumn id="3" xr3:uid="{00000000-0010-0000-0300-000003000000}" name="Dept" dataDxfId="1998" totalsRowDxfId="1997"/>
    <tableColumn id="4" xr3:uid="{00000000-0010-0000-0300-000004000000}" name="Course Offerings" totalsRowFunction="sum" dataDxfId="1996" totalsRowDxfId="1995">
      <calculatedColumnFormula>COUNTIF(Table2[Course Title],Table311[[#This Row],[Courses - Planned vs Need (Active Courses)]])</calculatedColumnFormula>
    </tableColumn>
    <tableColumn id="5" xr3:uid="{00000000-0010-0000-0300-000005000000}" name="Quota per Offering" totalsRowFunction="sum" dataDxfId="1994" totalsRowDxfId="1993"/>
    <tableColumn id="6" xr3:uid="{00000000-0010-0000-0300-000006000000}" name="Planned Quotas" totalsRowFunction="sum" dataDxfId="1992" totalsRowDxfId="1991">
      <calculatedColumnFormula>Table311[[#This Row],[Course Offerings]]*Table311[[#This Row],[Quota per Offering]]</calculatedColumnFormula>
    </tableColumn>
    <tableColumn id="7" xr3:uid="{00000000-0010-0000-0300-000007000000}" name="Fleet Quota Need" totalsRowFunction="sum" dataDxfId="1990"/>
    <tableColumn id="8" xr3:uid="{00000000-0010-0000-0300-000008000000}" name="Difference" totalsRowFunction="sum" dataDxfId="1989" totalsRowDxfId="1988">
      <calculatedColumnFormula>SUM(G5-H5)</calculatedColumnFormula>
    </tableColumn>
    <tableColumn id="9" xr3:uid="{00000000-0010-0000-0300-000009000000}" name="%" totalsRowFunction="average" dataDxfId="1987" dataCellStyle="Percent">
      <calculatedColumnFormula>IFERROR(Table311[[#This Row],[Planned Quotas]]/Table311[[#This Row],[Fleet Quota Need]],100%)</calculatedColumnFormula>
    </tableColumn>
    <tableColumn id="10" xr3:uid="{00000000-0010-0000-0300-00000A000000}" name="Total Grads" totalsRowFunction="sum" dataDxfId="1986" totalsRowDxfId="1985">
      <calculatedColumnFormula>SUMIF(Table2[Course Title],Table311[[#This Row],[Courses - Planned vs Need (Active Courses)]],Table2[Graduates])</calculatedColumnFormula>
    </tableColumn>
    <tableColumn id="22" xr3:uid="{28CA42B6-D4D4-43E5-B7D1-ED8C085ACFF6}" name="Total Registered" dataDxfId="1984" totalsRowDxfId="1983">
      <calculatedColumnFormula>SUMIF(Table2[Course Title],Table311[[#This Row],[Courses - Planned vs Need (Active Courses)]],Table2[Registered])</calculatedColumnFormula>
    </tableColumn>
    <tableColumn id="25" xr3:uid="{0C2E10DF-0E69-47FB-9063-74F8200FB154}" name="Total Waitlisted" dataDxfId="1982" totalsRowDxfId="1981">
      <calculatedColumnFormula>SUMIF(Table2[Course Title],Table311[[#This Row],[Courses - Planned vs Need (Active Courses)]],Table2[Waitlisted])</calculatedColumnFormula>
    </tableColumn>
    <tableColumn id="26" xr3:uid="{D9C2BAD8-88E1-4594-B8B1-60C41F062128}" name="Total Walk-in" dataDxfId="1980" totalsRowDxfId="1979">
      <calculatedColumnFormula>SUMIF(Table2[Course Title],Table311[[#This Row],[Courses - Planned vs Need (Active Courses)]],Table2[Walk-ins])</calculatedColumnFormula>
    </tableColumn>
    <tableColumn id="11" xr3:uid="{00000000-0010-0000-0300-00000B000000}" name="No Shows" totalsRowFunction="sum" dataDxfId="1978">
      <calculatedColumnFormula>SUMIF(Table2[Course Title],Table311[[#This Row],[Courses - Planned vs Need (Active Courses)]],Table2[No Shows])</calculatedColumnFormula>
    </tableColumn>
    <tableColumn id="12" xr3:uid="{00000000-0010-0000-0300-00000C000000}" name="To date quotas unused (Open quotas+ no shows)" totalsRowFunction="sum" dataDxfId="1977">
      <calculatedColumnFormula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calculatedColumnFormula>
    </tableColumn>
    <tableColumn id="20" xr3:uid="{00000000-0010-0000-0300-000014000000}" name="Sunk Courses due to unused quotas todate" dataDxfId="1976">
      <calculatedColumnFormula>ROUNDDOWN(Table311[[#This Row],[To date quotas unused (Open quotas+ no shows)]]/Table311[[#This Row],[Quota per Offering]],0)</calculatedColumnFormula>
    </tableColumn>
    <tableColumn id="13" xr3:uid="{00000000-0010-0000-0300-00000D000000}" name="Grads needed this FY towards planned quotas" totalsRowFunction="sum" dataDxfId="1975" totalsRowDxfId="1974">
      <calculatedColumnFormula>SUM(G5-K5)</calculatedColumnFormula>
    </tableColumn>
    <tableColumn id="14" xr3:uid="{00000000-0010-0000-0300-00000E000000}" name="# of course completion reports to be processed" totalsRowFunction="sum" dataDxfId="1973">
      <calculatedColumnFormula>COUNTIFS(Table2[Course Title],Table311[[#This Row],[Courses - Planned vs Need (Active Courses)]],Table2[Roster Status],"1",Table2[Remaining Courses],"0")</calculatedColumnFormula>
    </tableColumn>
    <tableColumn id="15" xr3:uid="{00000000-0010-0000-0300-00000F000000}" name="# of courses remaining" totalsRowFunction="sum" dataDxfId="1972" totalsRowDxfId="1971">
      <calculatedColumnFormula>COUNTIFS(Table2[Course Title],Table311[[#This Row],[Courses - Planned vs Need (Active Courses)]],Table2[Remaining Courses],"1")</calculatedColumnFormula>
    </tableColumn>
    <tableColumn id="16" xr3:uid="{00000000-0010-0000-0300-000010000000}" name="To date % of graduates towards Fleet Need" totalsRowFunction="average" dataDxfId="1970" totalsRowDxfId="1969" dataCellStyle="Percent">
      <calculatedColumnFormula>IFERROR((K5/H5),100%)</calculatedColumnFormula>
    </tableColumn>
    <tableColumn id="23" xr3:uid="{00000000-0010-0000-0300-000017000000}" name="% of available quotas used" totalsRowFunction="custom" dataDxfId="1968" totalsRowDxfId="1967" dataCellStyle="Percent">
      <calculatedColumnFormula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calculatedColumnFormula>
      <totalsRowFormula>IFERROR((Table311[[#This Row],[Total Grads]]/((Table311[[#This Row],[Course Offerings]]-Table311[[#This Row],['# of course completion reports to be processed]]-Table311[[#This Row],['# of courses remaining]])*Table311[[#This Row],[Quota per Offering]])),0)</totalsRowFormula>
    </tableColumn>
    <tableColumn id="21" xr3:uid="{00000000-0010-0000-0300-000015000000}" name="% of available quotas used counting in no shows" dataDxfId="1966" totalsRowDxfId="1965" dataCellStyle="Percent">
      <calculatedColumnFormula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calculatedColumnFormula>
    </tableColumn>
    <tableColumn id="24" xr3:uid="{00000000-0010-0000-0300-000018000000}" name="Remaining FY26 QTR 1 Open Quotas" dataDxfId="1964" totalsRowDxfId="1963" dataCellStyle="Percent">
      <calculatedColumnFormula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calculatedColumnFormula>
    </tableColumn>
    <tableColumn id="17" xr3:uid="{00000000-0010-0000-0300-000011000000}" name="# of additional grads if all quotas are filled of course results remaining to be processed" totalsRowFunction="sum" dataDxfId="1962" totalsRowDxfId="1961">
      <calculatedColumnFormula>SUM(S5,T5)*F5</calculatedColumnFormula>
    </tableColumn>
    <tableColumn id="18" xr3:uid="{00000000-0010-0000-0300-000012000000}" name="Difference between completed and fleet need of completed, potentially remaining quotas, and processed courses" totalsRowFunction="sum" dataDxfId="1960" totalsRowDxfId="1959">
      <calculatedColumnFormula>Table311[[#This Row],[Fleet Quota Need]]-Table311[[#This Row],[Total Grads]]</calculatedColumnFormula>
    </tableColumn>
    <tableColumn id="19" xr3:uid="{00000000-0010-0000-0300-000013000000}" name="Comments" dataDxfId="1958" totalsRowDxfId="1957"/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Table2" displayName="Table2" ref="A3:AM512" totalsRowCount="1" headerRowDxfId="1956" dataDxfId="1954" totalsRowDxfId="1953" headerRowBorderDxfId="1955">
  <autoFilter ref="A3:AM511" xr:uid="{00000000-0009-0000-0100-000002000000}"/>
  <sortState xmlns:xlrd2="http://schemas.microsoft.com/office/spreadsheetml/2017/richdata2" ref="A4:AM511">
    <sortCondition ref="F3:F511"/>
  </sortState>
  <tableColumns count="39">
    <tableColumn id="1" xr3:uid="{00000000-0010-0000-0500-000001000000}" name="Comments" totalsRowLabel="Total" dataDxfId="1952" totalsRowDxfId="1951"/>
    <tableColumn id="2" xr3:uid="{00000000-0010-0000-0500-000002000000}" name="Course Title" totalsRowFunction="count" dataDxfId="1950" totalsRowDxfId="1949"/>
    <tableColumn id="3" xr3:uid="{00000000-0010-0000-0500-000003000000}" name="CIN" dataDxfId="1948" totalsRowDxfId="1947">
      <calculatedColumnFormula>VLOOKUP(Table2[[#This Row],[Course Title]],'TSD-Data'!$A$1:$E$70,2,FALSE)</calculatedColumnFormula>
    </tableColumn>
    <tableColumn id="4" xr3:uid="{00000000-0010-0000-0500-000004000000}" name="CDP " dataDxfId="1946" totalsRowDxfId="1945">
      <calculatedColumnFormula>VLOOKUP(Table2[[#This Row],[Course Title]],'TSD-Data'!$A$1:$E$70,3,FALSE)</calculatedColumnFormula>
    </tableColumn>
    <tableColumn id="5" xr3:uid="{00000000-0010-0000-0500-000005000000}" name="Location" dataDxfId="1944" totalsRowDxfId="1943"/>
    <tableColumn id="6" xr3:uid="{00000000-0010-0000-0500-000006000000}" name="Start Date" dataDxfId="1942" totalsRowDxfId="1941"/>
    <tableColumn id="7" xr3:uid="{00000000-0010-0000-0500-000007000000}" name="End Date" dataDxfId="1940" totalsRowDxfId="1939"/>
    <tableColumn id="39" xr3:uid="{E04993C6-4294-4873-9FA6-31F315986D81}" name="Funding Status" dataDxfId="1938" totalsRowDxfId="1937"/>
    <tableColumn id="26" xr3:uid="{00000000-0010-0000-0500-00001A000000}" name="Resident Local Start Time of location" dataDxfId="1936" totalsRowDxfId="1935"/>
    <tableColumn id="32" xr3:uid="{00000000-0010-0000-0500-000020000000}" name="EST/EDT Local Live Session Start Time " dataDxfId="1934" totalsRowDxfId="1933"/>
    <tableColumn id="28" xr3:uid="{00000000-0010-0000-0500-00001C000000}" name="PST/PDT Local Live Session Start Time " dataDxfId="1932" totalsRowDxfId="1931"/>
    <tableColumn id="29" xr3:uid="{00000000-0010-0000-0500-00001D000000}" name="AST Local Live Session Start Time " dataDxfId="1930" totalsRowDxfId="1929"/>
    <tableColumn id="30" xr3:uid="{00000000-0010-0000-0500-00001E000000}" name="CET/CEST Local Live Session Start Time " dataDxfId="1928" totalsRowDxfId="1927"/>
    <tableColumn id="27" xr3:uid="{00000000-0010-0000-0500-00001B000000}" name="HST Local Live Session Start Time " dataDxfId="1926" totalsRowDxfId="1925"/>
    <tableColumn id="31" xr3:uid="{00000000-0010-0000-0500-00001F000000}" name="JST Local Live Session Start Time " dataDxfId="1924" totalsRowDxfId="1923"/>
    <tableColumn id="8" xr3:uid="{00000000-0010-0000-0500-000008000000}" name="Primary Instructor" dataDxfId="1922" totalsRowDxfId="1921"/>
    <tableColumn id="9" xr3:uid="{00000000-0010-0000-0500-000009000000}" name="Instructor 2" dataDxfId="1920" totalsRowDxfId="1919"/>
    <tableColumn id="37" xr3:uid="{6148186B-A7FB-47A2-97C4-82AF31060797}" name=" Support" dataDxfId="1918" totalsRowDxfId="1917"/>
    <tableColumn id="22" xr3:uid="{00000000-0010-0000-0500-000016000000}" name="Quotas" totalsRowFunction="sum" dataDxfId="1916" totalsRowDxfId="1915">
      <calculatedColumnFormula>VLOOKUP(Table2[[#This Row],[Course Title]],'TSD-Data'!$A$1:$E$70,4,FALSE)</calculatedColumnFormula>
    </tableColumn>
    <tableColumn id="11" xr3:uid="{00000000-0010-0000-0500-00000B000000}" name="Course Length (Hours)" totalsRowFunction="sum" dataDxfId="1914" totalsRowDxfId="1913">
      <calculatedColumnFormula>VLOOKUP(Table2[[#This Row],[Course Title]],'TSD-Data'!$A$1:$F$70,6,FALSE)</calculatedColumnFormula>
    </tableColumn>
    <tableColumn id="10" xr3:uid="{00000000-0010-0000-0500-00000A000000}" name="Course Length (Days)" totalsRowFunction="sum" dataDxfId="1912" totalsRowDxfId="1911">
      <calculatedColumnFormula>VLOOKUP(Table2[[#This Row],[Course Title]],'TSD-Data'!$A$1:$F$70,5,FALSE)</calculatedColumnFormula>
    </tableColumn>
    <tableColumn id="12" xr3:uid="{21BFFE1C-0DFD-4247-9F4C-40FE9E4167CB}" name="FY26 Need" dataDxfId="1910" totalsRowDxfId="1909"/>
    <tableColumn id="13" xr3:uid="{A721A77A-8D69-4276-9351-50C0DE5E1918}" name="Registered" totalsRowFunction="sum" dataDxfId="1908" totalsRowDxfId="1907"/>
    <tableColumn id="14" xr3:uid="{59F4F846-4AAC-4B1E-BACA-9E42603D1953}" name="Waitlisted" totalsRowFunction="sum" dataDxfId="1906" totalsRowDxfId="1905"/>
    <tableColumn id="16" xr3:uid="{00000000-0010-0000-0500-000010000000}" name="Graduates" totalsRowFunction="sum" dataDxfId="1904" totalsRowDxfId="1903"/>
    <tableColumn id="17" xr3:uid="{00000000-0010-0000-0500-000011000000}" name="Fail" totalsRowFunction="sum" dataDxfId="1902" totalsRowDxfId="1901"/>
    <tableColumn id="18" xr3:uid="{00000000-0010-0000-0500-000012000000}" name="No Shows" totalsRowFunction="sum" dataDxfId="1900" totalsRowDxfId="1899"/>
    <tableColumn id="19" xr3:uid="{00000000-0010-0000-0500-000013000000}" name="Walk-ins" totalsRowFunction="sum" dataDxfId="1898" totalsRowDxfId="1897"/>
    <tableColumn id="20" xr3:uid="{00000000-0010-0000-0500-000014000000}" name="Foreign Grads" totalsRowFunction="sum" dataDxfId="1896" totalsRowDxfId="1895"/>
    <tableColumn id="21" xr3:uid="{00000000-0010-0000-0500-000015000000}" name="Roster Received by" dataDxfId="1894" totalsRowDxfId="1893"/>
    <tableColumn id="23" xr3:uid="{00000000-0010-0000-0500-000017000000}" name="Roster Due" dataDxfId="1892" totalsRowDxfId="1891">
      <calculatedColumnFormula>Table2[[#This Row],[End Date]]+2-TODAY()</calculatedColumnFormula>
    </tableColumn>
    <tableColumn id="24" xr3:uid="{00000000-0010-0000-0500-000018000000}" name="Roster Status" dataDxfId="1890" totalsRowDxfId="1889">
      <calculatedColumnFormula>IF(ISBLANK(Table2[[#This Row],[Roster Received by]]),1,0)</calculatedColumnFormula>
    </tableColumn>
    <tableColumn id="33" xr3:uid="{36BCB078-BF54-4A0A-ACCB-03EDF08FCA74}" name="Remaining Courses" dataDxfId="1888" totalsRowDxfId="1887">
      <calculatedColumnFormula>IF(Table2[[#This Row],[Start Date]]&gt;TODAY(),1,)</calculatedColumnFormula>
    </tableColumn>
    <tableColumn id="36" xr3:uid="{A78DB514-4877-4DC5-964C-04D2F85726FB}" name="1" dataDxfId="1886" totalsRowDxfId="1885">
      <calculatedColumnFormula>IF(ISBLANK(Table2[[#This Row],[Primary Instructor]]),0,1)</calculatedColumnFormula>
    </tableColumn>
    <tableColumn id="35" xr3:uid="{8CE0A7B7-E4D7-4F25-B570-80DA9EC4BF30}" name="2" dataDxfId="1884" totalsRowDxfId="1883">
      <calculatedColumnFormula>IF(ISBLANK(Table2[[#This Row],[Instructor 2]]),0,1)</calculatedColumnFormula>
    </tableColumn>
    <tableColumn id="34" xr3:uid="{0CD40F24-74B8-40FD-886D-07A1C314B27B}" name="Total" dataDxfId="1882" totalsRowDxfId="1881">
      <calculatedColumnFormula>Table2[[#This Row],[Course Length (Hours)]]/(SUM(Table2[[#This Row],[1]:[2]]))</calculatedColumnFormula>
    </tableColumn>
    <tableColumn id="25" xr3:uid="{00000000-0010-0000-0500-000019000000}" name="Open Quotas" dataDxfId="1880" totalsRowDxfId="1879"/>
    <tableColumn id="15" xr3:uid="{F566B582-F1BF-4E5C-9C87-144958A9FE2C}" name="QTR" dataDxfId="1878" totalsRowDxfId="1877"/>
    <tableColumn id="38" xr3:uid="{3E0E683E-3ACA-430F-8A2E-F2D6B9E5099E}" name="Department" dataDxfId="1876" totalsRowDxfId="1875">
      <calculatedColumnFormula>VLOOKUP(Table2[[#This Row],[Course Title]],'TSD-Data'!$A$1:$G$70,7,FALSE)</calculatedColumnFormula>
    </tableColumn>
  </tableColumns>
  <tableStyleInfo name="TableStyleMedium1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3242128-953E-4481-9593-EBFC69CE1FCF}" name="Table119" displayName="Table119" ref="A1:AX52" totalsRowCount="1" headerRowDxfId="1874" dataDxfId="1872" totalsRowDxfId="1870" headerRowBorderDxfId="1873" tableBorderDxfId="1871" totalsRowBorderDxfId="1869">
  <autoFilter ref="A1:AX51" xr:uid="{00000000-0009-0000-0100-000001000000}"/>
  <sortState xmlns:xlrd2="http://schemas.microsoft.com/office/spreadsheetml/2017/richdata2" ref="A3:AX51">
    <sortCondition ref="A1:A51"/>
  </sortState>
  <tableColumns count="50">
    <tableColumn id="1" xr3:uid="{5DE21DDE-1C89-495B-8381-07C199290CB1}" name="Course" totalsRowLabel="Total" dataDxfId="1868" totalsRowDxfId="1867"/>
    <tableColumn id="21" xr3:uid="{7D518124-F71D-44BD-A2C2-45CBDDD6EA91}" name="Dept" dataDxfId="1866" totalsRowDxfId="1865">
      <calculatedColumnFormula>VLOOKUP(Table119[[#This Row],[Course]],'TSD-Data'!$A$1:$G$70,7,FALSE)</calculatedColumnFormula>
    </tableColumn>
    <tableColumn id="8" xr3:uid="{F3B2F834-811A-407B-BC5D-6D64DFD9AE2F}" name="Format" dataDxfId="1864" totalsRowDxfId="1863"/>
    <tableColumn id="2" xr3:uid="{BC8FED00-26F2-4309-9D22-7CB9C96E2B49}" name="CIN" dataDxfId="1862" totalsRowDxfId="1861">
      <calculatedColumnFormula>VLOOKUP(Table119[[#This Row],[Course]],'TSD-Data'!$A$1:$G$70,2,FALSE)</calculatedColumnFormula>
    </tableColumn>
    <tableColumn id="3" xr3:uid="{DD39FB7D-7198-4FAE-B379-5545F294A3F4}" name="CDP" dataDxfId="1860" totalsRowDxfId="1859">
      <calculatedColumnFormula>VLOOKUP(Table119[[#This Row],[Course]],'TSD-Data'!$A$1:$G$70,3,FALSE)</calculatedColumnFormula>
    </tableColumn>
    <tableColumn id="43" xr3:uid="{ABFD1430-827C-4B99-A947-C8A132C1841B}" name="FY26 FLT Quota Need" dataDxfId="1858" totalsRowDxfId="1857"/>
    <tableColumn id="46" xr3:uid="{21D39B7F-4426-4129-AC71-EE401668ED52}" name="FY26 Quota Per course" dataDxfId="1856" totalsRowDxfId="1855">
      <calculatedColumnFormula>VLOOKUP(Table119[[#This Row],[Course]],'TSD-Data'!$A$1:$G$70,4,FALSE)</calculatedColumnFormula>
    </tableColumn>
    <tableColumn id="45" xr3:uid="{8924EB65-25ED-4AB8-9D4A-DD652A32C090}" name="FY26 Courses Needed" dataDxfId="1854" totalsRowDxfId="1853">
      <calculatedColumnFormula>Table119[[#This Row],[FY26 FLT Quota Need]]/Table119[[#This Row],[FY26 Quota Per course]]</calculatedColumnFormula>
    </tableColumn>
    <tableColumn id="54" xr3:uid="{D83B7A93-2DDF-42A8-A8C4-78DF09943966}" name="FY26 Courses Needed Round UP" dataDxfId="1852" totalsRowDxfId="1851">
      <calculatedColumnFormula>ROUNDUP(Table119[[#This Row],[FY26 Courses Needed]],0)</calculatedColumnFormula>
    </tableColumn>
    <tableColumn id="53" xr3:uid="{770F04C8-A8D6-44D0-9519-B966D0492EBF}" name="FY26 NSETC Course # projections" dataDxfId="1850" totalsRowDxfId="1849"/>
    <tableColumn id="55" xr3:uid="{D5F732EB-4957-4CC4-A624-2F748A01F6BD}" name="FY26 Hours Per Course" dataDxfId="1848" totalsRowDxfId="1847">
      <calculatedColumnFormula>VLOOKUP(Table119[[#This Row],[Course]],'TSD-Data'!$A$1:$G$70,6,FALSE)</calculatedColumnFormula>
    </tableColumn>
    <tableColumn id="56" xr3:uid="{1B2E8EAC-2E53-4024-8AA5-4B950FD79700}" name="FY26 Total Hours to instruct" dataDxfId="1846" totalsRowDxfId="1845">
      <calculatedColumnFormula>Table119[[#This Row],[FY26 NSETC Course '# projections]]*Table119[[#This Row],[FY26 Hours Per Course]]</calculatedColumnFormula>
    </tableColumn>
    <tableColumn id="57" xr3:uid="{F7D71315-EB08-4C05-A187-629D9218E586}" name="FY 26 NSETC FLT Needs deicit" dataDxfId="1844" totalsRowDxfId="1843">
      <calculatedColumnFormula>Table119[[#This Row],[FY26 NSETC Course '# projections]]-Table119[[#This Row],[FY26 Courses Needed Round UP]]</calculatedColumnFormula>
    </tableColumn>
    <tableColumn id="44" xr3:uid="{FC5BEF44-61B0-4AC2-99BF-E8B8C76B9F92}" name="FY26 NSETC % towards fleet need" dataDxfId="1842" totalsRowDxfId="1841" dataCellStyle="Percent">
      <calculatedColumnFormula>IFERROR(J2*G2/F2, "N/A")</calculatedColumnFormula>
    </tableColumn>
    <tableColumn id="39" xr3:uid="{7277C6C3-2497-49CC-9EF5-28D4F7649E86}" name="Column3" dataDxfId="1840" totalsRowDxfId="1839"/>
    <tableColumn id="48" xr3:uid="{2C6A8E64-35DF-44BE-A03C-42E6A6401C2E}" name="FY25 Total Courses" totalsRowFunction="sum" dataDxfId="1838" totalsRowDxfId="1837"/>
    <tableColumn id="5" xr3:uid="{3994B820-48A3-4993-9B89-699336C710C3}" name="FY25 Quota Per Course" totalsRowFunction="sum" dataDxfId="1836" totalsRowDxfId="1835"/>
    <tableColumn id="49" xr3:uid="{17837056-4605-469B-80E9-9765A315EC42}" name="FY25 Grads" totalsRowFunction="sum" dataDxfId="1834" totalsRowDxfId="1833"/>
    <tableColumn id="50" xr3:uid="{BF02E37F-6716-4062-AF32-673CEC977920}" name="FY25 Fails" totalsRowFunction="sum" dataDxfId="1832" totalsRowDxfId="1831"/>
    <tableColumn id="59" xr3:uid="{C340754F-EA6C-4CBD-8542-8520C67D4CF2}" name="FY25 No Shows" totalsRowFunction="sum" dataDxfId="1830" totalsRowDxfId="1829"/>
    <tableColumn id="51" xr3:uid="{6BF3AFFA-7820-4914-AFC6-2FA9EC36878E}" name="FY25 Average class size" dataDxfId="1828" totalsRowDxfId="1827">
      <calculatedColumnFormula>(Table119[[#This Row],[FY25 Grads]]+Table119[[#This Row],[FY25 Fails]])/Table119[[#This Row],[FY25 Total Courses]]</calculatedColumnFormula>
    </tableColumn>
    <tableColumn id="52" xr3:uid="{35A864B4-8265-4B85-B6CF-1C2B3E6C3178}" name="FY25 FLT Quota Need" dataDxfId="1826" totalsRowDxfId="1825"/>
    <tableColumn id="58" xr3:uid="{EDB1328E-4BA6-45DA-ACC9-D7D47C8EC73A}" name="FY25 NSETC % towards fleet need" dataDxfId="1824" totalsRowDxfId="1823" dataCellStyle="Percent">
      <calculatedColumnFormula>IFERROR((R2+S2)/V2, "N/A")</calculatedColumnFormula>
    </tableColumn>
    <tableColumn id="9" xr3:uid="{7DC90EE6-484C-4D3C-A87D-C77E0D4FF30B}" name="Quotas: All Data" totalsRowFunction="sum" dataDxfId="1822" totalsRowDxfId="1821"/>
    <tableColumn id="10" xr3:uid="{187D4068-685C-4B68-A4BF-8057A32E4490}" name="Courses Needed: All Data" totalsRowFunction="sum" dataDxfId="1820" totalsRowDxfId="1819"/>
    <tableColumn id="20" xr3:uid="{731D765C-39ED-4A42-9196-4285D832B23C}" name="Column1" dataDxfId="1818" totalsRowDxfId="1817"/>
    <tableColumn id="11" xr3:uid="{B3131F06-2E27-42E2-9466-B5D7F0CC93D2}" name="FY24 Total Courses" totalsRowFunction="custom" dataDxfId="1816" totalsRowDxfId="1815">
      <totalsRowFormula>SUM(AA2:AA51)</totalsRowFormula>
    </tableColumn>
    <tableColumn id="16" xr3:uid="{13EB8F2E-5666-4E33-B48E-2780DBCE33CE}" name="FY24 Quotas Per Course" totalsRowFunction="custom" dataDxfId="1814" totalsRowDxfId="1813">
      <totalsRowFormula>SUM(AB2:AB51)</totalsRowFormula>
    </tableColumn>
    <tableColumn id="38" xr3:uid="{8CD6012D-A593-45C7-90DD-B4AE712F75BC}" name="FY24 Grads" totalsRowFunction="custom" dataDxfId="1812" totalsRowDxfId="1811">
      <totalsRowFormula>SUM(AC2:AC51)</totalsRowFormula>
    </tableColumn>
    <tableColumn id="37" xr3:uid="{70A92902-3F5D-450C-922E-438F3D54263D}" name="FY24 Fails" totalsRowFunction="custom" dataDxfId="1810" totalsRowDxfId="1809">
      <totalsRowFormula>SUBTOTAL(109,AD2:AD51)</totalsRowFormula>
    </tableColumn>
    <tableColumn id="17" xr3:uid="{0D1DDA85-393C-4E5E-8D27-C30215363DD2}" name="FY24 Average class size" dataDxfId="1808" totalsRowDxfId="1807">
      <calculatedColumnFormula>AVERAGE(AC2+AD2)/AA2</calculatedColumnFormula>
    </tableColumn>
    <tableColumn id="18" xr3:uid="{A28CC44C-4BE5-40C6-94D1-2AEB279C96F5}" name="FY24 FLT Quota Need" totalsRowFunction="custom" dataDxfId="1806" totalsRowDxfId="1805">
      <totalsRowFormula>SUM(AF2:AF51)</totalsRowFormula>
    </tableColumn>
    <tableColumn id="19" xr3:uid="{5B96E9E9-BD81-4DA8-A884-DDB65095A7DD}" name="FY24 NSETC % towards fleet need" dataDxfId="1804" totalsRowDxfId="1803">
      <calculatedColumnFormula>SUM(AC2+AD2)/AF2</calculatedColumnFormula>
    </tableColumn>
    <tableColumn id="31" xr3:uid="{D2FBB141-7AD4-4296-ADB7-297841E66BDC}" name="Column2" dataDxfId="1802" totalsRowDxfId="1801"/>
    <tableColumn id="29" xr3:uid="{1A2E5926-4A8C-4A4F-8B7A-882AA94DBB96}" name="FY23 Total Courses" totalsRowFunction="custom" dataDxfId="1800" totalsRowDxfId="1799">
      <totalsRowFormula>SUM(AI2:AI51)</totalsRowFormula>
    </tableColumn>
    <tableColumn id="15" xr3:uid="{3CA16644-1596-48DF-8795-C09EE3F42835}" name="FY23 Quotas Per Course" totalsRowFunction="custom" dataDxfId="1798" totalsRowDxfId="1797">
      <totalsRowFormula>SUM(AJ2:AJ51)</totalsRowFormula>
    </tableColumn>
    <tableColumn id="14" xr3:uid="{E40F803B-86F2-4FC2-85D6-2E3D3ADB91F8}" name="FY23 Grads" totalsRowFunction="custom" dataDxfId="1796" totalsRowDxfId="1795">
      <totalsRowFormula>SUM(AK2:AK51)</totalsRowFormula>
    </tableColumn>
    <tableColumn id="13" xr3:uid="{A9107747-AD8A-445A-9D63-B0B3C38DE30B}" name="FY23 Fails" totalsRowFunction="custom" dataDxfId="1794" totalsRowDxfId="1793">
      <totalsRowFormula>SUM(AT2:AT51)</totalsRowFormula>
    </tableColumn>
    <tableColumn id="12" xr3:uid="{3697AB69-AE05-4886-A4C9-0DBEA3AAD7E9}" name="FY23 Average class size" dataDxfId="1792" totalsRowDxfId="1791">
      <calculatedColumnFormula>AVERAGE(AK2+AL2)/AI2</calculatedColumnFormula>
    </tableColumn>
    <tableColumn id="34" xr3:uid="{C8DD9B6C-714F-4936-818B-2BE2CF259193}" name="FY23 FLT Quota Need" totalsRowFunction="custom" dataDxfId="1790" totalsRowDxfId="1789">
      <totalsRowFormula>SUM(AN2:AN51)</totalsRowFormula>
    </tableColumn>
    <tableColumn id="33" xr3:uid="{6225ABCC-E99B-4BC6-BBB1-DDFB664A79F2}" name="FY23 NSETC % towards fleet need" dataDxfId="1788" totalsRowDxfId="1787">
      <calculatedColumnFormula>SUM(AK2+AL2)/AN2</calculatedColumnFormula>
    </tableColumn>
    <tableColumn id="32" xr3:uid="{412B0686-B577-435C-9FC8-36B7E40E847A}" name="Column122" dataDxfId="1786" totalsRowDxfId="1785"/>
    <tableColumn id="30" xr3:uid="{833248E2-59ED-4580-ABF8-D94E79AEC124}" name="FY22 Total Courses" totalsRowFunction="sum" dataDxfId="1784" totalsRowDxfId="1783"/>
    <tableColumn id="28" xr3:uid="{846EB57B-B4C1-4EBB-A5E7-5E3646F4D947}" name="FY22 Quotas Per Course" totalsRowFunction="custom" dataDxfId="1782" totalsRowDxfId="1781">
      <totalsRowFormula>SUM(AR2:AR51)</totalsRowFormula>
    </tableColumn>
    <tableColumn id="24" xr3:uid="{3F9FA3D9-5BF6-4498-A5B8-8DC7CD473AA0}" name="FY22 Grads" totalsRowFunction="custom" dataDxfId="1780" totalsRowDxfId="1779">
      <totalsRowFormula>SUM(AS2:AS51)</totalsRowFormula>
    </tableColumn>
    <tableColumn id="36" xr3:uid="{2D07C787-7F35-4A4D-B418-64FD91BA87C4}" name="FY22 Fails" totalsRowFunction="custom" dataDxfId="1778" totalsRowDxfId="1777">
      <totalsRowFormula>SUM(AT2:AT51)</totalsRowFormula>
    </tableColumn>
    <tableColumn id="35" xr3:uid="{5415F141-01B5-4BCF-94B0-38968F0BCB8F}" name="FY22 Average class size" dataDxfId="1776" totalsRowDxfId="1775"/>
    <tableColumn id="23" xr3:uid="{AA499A51-E86B-4C1E-A74D-930978F05062}" name="FY22 FLT Quota Need" totalsRowFunction="custom" dataDxfId="1774" totalsRowDxfId="1773">
      <totalsRowFormula>SUM(AV2:AV51)</totalsRowFormula>
    </tableColumn>
    <tableColumn id="22" xr3:uid="{8096F8D5-5E5C-4D57-BA74-418CF207EA3D}" name="FY22 NSETC % towards fleet need" dataDxfId="1772" totalsRowDxfId="1771">
      <calculatedColumnFormula>SUM(AS2+AT2)/AV2</calculatedColumnFormula>
    </tableColumn>
    <tableColumn id="42" xr3:uid="{D768DDF1-FBB8-4B0B-AC5C-D6932F878BB2}" name="Course2" totalsRowLabel="Total" dataDxfId="1770" totalsRowDxfId="1769"/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9537816-584E-45BC-8B79-A6E26D29FB1D}" name="Table13" displayName="Table13" ref="A3:Y4" totalsRowShown="0">
  <autoFilter ref="A3:Y4" xr:uid="{99537816-584E-45BC-8B79-A6E26D29FB1D}"/>
  <sortState xmlns:xlrd2="http://schemas.microsoft.com/office/spreadsheetml/2017/richdata2" ref="A4:Y4">
    <sortCondition ref="N3:N4"/>
  </sortState>
  <tableColumns count="25">
    <tableColumn id="1" xr3:uid="{0D4818A8-0613-4907-83B7-3351C78B3D36}" name="Command"/>
    <tableColumn id="2" xr3:uid="{3E296298-B26A-46E0-87D8-EB8F4C7A42B5}" name="Location/Course Title"/>
    <tableColumn id="3" xr3:uid="{76F957E1-68DE-4E1B-9579-70F51AC117FF}" name="Asbestos Inspector"/>
    <tableColumn id="4" xr3:uid="{F51396D4-E231-4BB6-98AD-F19562E0F26F}" name="Asbestos Inspector Refresher"/>
    <tableColumn id="5" xr3:uid="{19C52C31-B759-4DB0-9F4D-CC86F5D7EEF8}" name="Asbestos Management Planner"/>
    <tableColumn id="6" xr3:uid="{CCBE4131-BBCE-4A37-BC7A-28C47A25CDEB}" name="Asbestos Management Planner Refresher"/>
    <tableColumn id="7" xr3:uid="{B308F5D2-4789-40B7-9644-1FA1D58C1F75}" name="Asbestos Supervisor Initial"/>
    <tableColumn id="8" xr3:uid="{6777534C-018B-4C2D-8AF0-402140A8BBB7}" name="Asbestos Supervisor Refresher"/>
    <tableColumn id="9" xr3:uid="{DDD20D20-C9BE-4EB2-B41B-7992D8E01D09}" name="Competent Person for Fall Protection Course"/>
    <tableColumn id="10" xr3:uid="{1EC46675-1198-4EB4-AA7E-3353BD861F30}" name="Confined Space Safety "/>
    <tableColumn id="11" xr3:uid="{8EEA679E-A7CA-46ED-87E0-13F347667290}" name="Construction Safety Standards"/>
    <tableColumn id="12" xr3:uid="{98842E77-2B4B-48D1-93D2-4E71D033D94F}" name="Emergency Asbestos Response Team"/>
    <tableColumn id="13" xr3:uid="{BC636471-49A6-4D1E-94A8-14166515797E}" name="Facility Response Team Five Day"/>
    <tableColumn id="14" xr3:uid="{AF9AB3CD-EC8A-4D94-A813-F8714ECCBFD7}" name="Facility Response Team Three Day"/>
    <tableColumn id="15" xr3:uid="{B84476DD-4B47-475C-AF48-FA1E9843C641}" name="Fire Protection &amp; Life Safety"/>
    <tableColumn id="16" xr3:uid="{A46108EB-19C8-4B7B-BBD9-2FBDAA4F47BE}" name="Hazardous Substance Incident Response Management"/>
    <tableColumn id="17" xr3:uid="{781AF24F-FC75-4ACD-92EB-FF2059E9F1BB}" name="Hazardous Substance Incident Response Management  Refresher"/>
    <tableColumn id="18" xr3:uid="{7685E2D4-5238-46C6-B9AB-59480B4EE57A}" name="Incident Command System 300 "/>
    <tableColumn id="19" xr3:uid="{12AB6EEF-C6F0-4921-929F-B11CEC4CFC2C}" name="Incident Command System 300 Refresher"/>
    <tableColumn id="20" xr3:uid="{99FCD6E1-6374-4629-A850-A81E4F9583EC}" name="Incident Command System 400 "/>
    <tableColumn id="21" xr3:uid="{5EC60A3E-AE28-4C94-8EC9-28C2746575E9}" name="Industrial Noise and Hearing Conservation Program"/>
    <tableColumn id="22" xr3:uid="{C7C229FC-99B3-4A7F-83C4-AF2895FE22D6}" name="Oil Hazardous Substance Spill Response Tabletop Exercise "/>
    <tableColumn id="23" xr3:uid="{F26C1772-6DFA-406F-8692-C0828AA48BA8}" name="Respiratory Protection Program Management"/>
    <tableColumn id="24" xr3:uid="{07574640-39C6-4737-BBEF-8382785FD841}" name="Tank Managers Course"/>
    <tableColumn id="25" xr3:uid="{7F612C68-7104-44E4-A5E3-82E823CA10C6}" name="Totals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19E4743-4130-4D92-AD83-3A3839BE8249}" name="Table14" displayName="Table14" ref="A3:Y16" totalsRowShown="0">
  <autoFilter ref="A3:Y16" xr:uid="{319E4743-4130-4D92-AD83-3A3839BE8249}"/>
  <sortState xmlns:xlrd2="http://schemas.microsoft.com/office/spreadsheetml/2017/richdata2" ref="A4:Y16">
    <sortCondition ref="I3:I16"/>
  </sortState>
  <tableColumns count="25">
    <tableColumn id="1" xr3:uid="{A5FE80CB-5560-4C47-A00B-129469F88A33}" name="Command"/>
    <tableColumn id="2" xr3:uid="{4596AE97-1666-4502-9BFC-26875C2933EF}" name="Location/Course Title"/>
    <tableColumn id="3" xr3:uid="{0A6DED73-A464-40F7-825B-2B19F1192CAC}" name="Asbestos Inspector"/>
    <tableColumn id="4" xr3:uid="{977083E6-823D-4C67-83FD-409241327E21}" name="Asbestos Inspector Refresher"/>
    <tableColumn id="5" xr3:uid="{81AD8009-ED8C-430A-9D1F-A56E020BA073}" name="Asbestos Management Planner"/>
    <tableColumn id="6" xr3:uid="{E3F31221-79EC-4006-94F5-3E009DC99344}" name="Asbestos Management Planner Refresher"/>
    <tableColumn id="7" xr3:uid="{048E75A7-82F0-4F16-9BA1-8E2E70B5C6D7}" name="Asbestos Supervisor Initial"/>
    <tableColumn id="8" xr3:uid="{D970964B-FC1B-44FA-9DD1-9B52B0E0464B}" name="Asbestos Supervisor Refresher"/>
    <tableColumn id="9" xr3:uid="{6B5273FF-9DA0-4D9B-84E8-B9DB019E5C6C}" name="Competent Person for Fall Protection Course"/>
    <tableColumn id="10" xr3:uid="{34E3ED6A-8CA2-4B4B-AC72-FFD010E2A7CC}" name="Confined Space Safety "/>
    <tableColumn id="11" xr3:uid="{7421D481-FBB0-4A8E-950A-C0B01107F651}" name="Construction Safety Standards"/>
    <tableColumn id="12" xr3:uid="{A8943F39-2078-4531-A2C3-E2047D05EE3C}" name="Emergency Asbestos Response Team"/>
    <tableColumn id="13" xr3:uid="{FB978321-6DC7-45CD-A2B4-333887E8A2C4}" name="Facility Response Team Five Day"/>
    <tableColumn id="14" xr3:uid="{03BA62D7-3518-463E-9361-4B78AE033671}" name="Facility Response Team Three Day"/>
    <tableColumn id="15" xr3:uid="{6CD1C29A-BA47-4AD7-9162-DDDE144EAF91}" name="Fire Protection &amp; Life Safety"/>
    <tableColumn id="16" xr3:uid="{F6EE51FA-C165-4F30-8B29-25D9DF49CA13}" name="Hazardous Substance Incident Response Management"/>
    <tableColumn id="17" xr3:uid="{EFA455DC-434A-4E99-AF0C-FCE578842501}" name="Hazardous Substance Incident Response Management  Refresher"/>
    <tableColumn id="18" xr3:uid="{DAA27C04-0E11-4A71-85C9-23CB99C535BD}" name="Incident Command System 300 "/>
    <tableColumn id="19" xr3:uid="{35577BE4-B23C-41F2-B9A3-056E45440D68}" name="Incident Command System 300 Refresher"/>
    <tableColumn id="20" xr3:uid="{74577DCC-3DA5-4A1B-8E9A-499E7A3196EA}" name="Incident Command System 400 "/>
    <tableColumn id="21" xr3:uid="{0920A710-57DA-4286-B79D-B958778CFFD2}" name="Industrial Noise and Hearing Conservation Program"/>
    <tableColumn id="22" xr3:uid="{E754A833-4F7A-4AF1-91B9-6A8663C5FF26}" name="Oil Hazardous Substance Spill Response Tabletop Exercise "/>
    <tableColumn id="23" xr3:uid="{6D230E40-FB5B-4E6B-AA33-FAF6E2788EBC}" name="Respiratory Protection Program Management"/>
    <tableColumn id="24" xr3:uid="{6B9BA8DA-F822-4334-96C8-ECA995DA2936}" name="Tank Managers Course"/>
    <tableColumn id="25" xr3:uid="{6F2BDA51-1E8E-4E2B-9F10-C95DB5246AAF}" name="Totals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E9D6244-F96B-4F9C-8F2D-EEB8EC6EBEEE}" name="Table15" displayName="Table15" ref="A3:Y16" totalsRowShown="0">
  <autoFilter ref="A3:Y16" xr:uid="{5E9D6244-F96B-4F9C-8F2D-EEB8EC6EBEEE}"/>
  <sortState xmlns:xlrd2="http://schemas.microsoft.com/office/spreadsheetml/2017/richdata2" ref="A4:Y16">
    <sortCondition ref="I3:I16"/>
  </sortState>
  <tableColumns count="25">
    <tableColumn id="1" xr3:uid="{C4EBF9C7-B051-49F0-8408-CAEEA8212BD6}" name="Command"/>
    <tableColumn id="2" xr3:uid="{2D2E791E-042D-46C5-AC8F-2523E070747A}" name="Location/Course Title"/>
    <tableColumn id="3" xr3:uid="{EFDC29C2-A34F-4503-AA89-2894BFD6BF80}" name="Asbestos Inspector"/>
    <tableColumn id="4" xr3:uid="{65888510-5CA7-43B6-AB85-2346DE638340}" name="Asbestos Inspector Refresher"/>
    <tableColumn id="5" xr3:uid="{8B60FD59-75A5-41EA-8F7A-38BDA0A0908E}" name="Asbestos Management Planner"/>
    <tableColumn id="6" xr3:uid="{60BBD7DC-B103-44B4-923C-A63B11DC90F0}" name="Asbestos Management Planner Refresher"/>
    <tableColumn id="7" xr3:uid="{09CDA64D-3CAF-45FC-BBF8-A63A9D54FAC1}" name="Asbestos Supervisor Initial"/>
    <tableColumn id="8" xr3:uid="{D7B3D767-693C-410C-B96D-A0E1885303D2}" name="Asbestos Supervisor Refresher"/>
    <tableColumn id="9" xr3:uid="{975A4CEF-F613-498B-87B9-AFA977BDE54C}" name="Competent Person for Fall Protection Course"/>
    <tableColumn id="10" xr3:uid="{815D23B9-8A90-4202-8197-53CEB9630EBA}" name="Confined Space Safety "/>
    <tableColumn id="11" xr3:uid="{01731274-14CE-4FDE-8DEE-EFAB0D7156AF}" name="Construction Safety Standards"/>
    <tableColumn id="12" xr3:uid="{04664E09-1A05-4E17-AE0B-CEBEC80F3B6C}" name="Emergency Asbestos Response Team"/>
    <tableColumn id="13" xr3:uid="{A9EABD99-692A-45CF-8CE8-17449998EC01}" name="Facility Response Team Five Day"/>
    <tableColumn id="14" xr3:uid="{FB263A2B-4A4B-4144-9DE3-1F99A95D6721}" name="Facility Response Team Three Day"/>
    <tableColumn id="15" xr3:uid="{EE9B185A-7D0A-4156-801A-5A4CF101A7B4}" name="Fire Protection &amp; Life Safety"/>
    <tableColumn id="16" xr3:uid="{3B475B83-A950-4A1F-A3AF-5BB6EA781357}" name="Hazardous Substance Incident Response Management"/>
    <tableColumn id="17" xr3:uid="{AF267EB6-916A-4F70-92D8-0E75CD538506}" name="Hazardous Substance Incident Response Management  Refresher"/>
    <tableColumn id="18" xr3:uid="{A91FC45C-EE33-400C-A793-6CE8091E22BF}" name="Incident Command System 300 "/>
    <tableColumn id="19" xr3:uid="{A92E60F2-97AC-49E4-B1CF-7F5F1FBD8FDB}" name="Incident Command System 300 Refresher"/>
    <tableColumn id="20" xr3:uid="{CBB9CB94-EB74-4B5A-B156-8017E4A8F9AD}" name="Incident Command System 400 "/>
    <tableColumn id="21" xr3:uid="{2270F2AA-0FA9-44D1-B1CF-D90C9D05098E}" name="Industrial Noise and Hearing Conservation Program"/>
    <tableColumn id="22" xr3:uid="{867E2E16-37C4-4BA7-929A-4158CDF479DA}" name="Oil Hazardous Substance Spill Response Tabletop Exercise "/>
    <tableColumn id="23" xr3:uid="{7D22CCB0-3AE5-4641-8995-CA3A932EAFC1}" name="Respiratory Protection Program Management"/>
    <tableColumn id="24" xr3:uid="{18E07E93-776D-410F-B07B-74EA4416C947}" name="Tank Managers Course"/>
    <tableColumn id="25" xr3:uid="{171D8D4C-1478-4E01-9AF0-ABBD59945B5C}" name="Totals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6EDB5DD-DA60-4B72-B8A7-AA0DAC1BF15F}" name="Table16" displayName="Table16" ref="A3:Y15" totalsRowShown="0">
  <autoFilter ref="A3:Y15" xr:uid="{16EDB5DD-DA60-4B72-B8A7-AA0DAC1BF15F}"/>
  <sortState xmlns:xlrd2="http://schemas.microsoft.com/office/spreadsheetml/2017/richdata2" ref="A4:Y15">
    <sortCondition ref="Q3:Q15"/>
  </sortState>
  <tableColumns count="25">
    <tableColumn id="1" xr3:uid="{4CCA47A7-1E64-4866-AECF-97355BE6DABF}" name="Command"/>
    <tableColumn id="2" xr3:uid="{1370DB97-3716-4B6A-A3DE-9247713F3EEE}" name="Location/Course Title"/>
    <tableColumn id="3" xr3:uid="{B156F5EE-F050-4B7A-B07B-6F12E550E8C6}" name="Asbestos Inspector"/>
    <tableColumn id="4" xr3:uid="{DFE5EF05-360A-430D-95D9-CD0FB9DFB27E}" name="Asbestos Inspector Refresher"/>
    <tableColumn id="5" xr3:uid="{2C0498B5-EE35-4DAD-BDE0-C603B64C0FF8}" name="Asbestos Management Planner"/>
    <tableColumn id="6" xr3:uid="{C29E64D8-E080-4D84-87AA-88E06EA47C66}" name="Asbestos Management Planner Refresher"/>
    <tableColumn id="7" xr3:uid="{122E6C15-8391-4DEC-8E92-40494569B2C0}" name="Asbestos Supervisor Initial"/>
    <tableColumn id="8" xr3:uid="{95F8F474-5EBE-469B-828F-E4537FE9AF3F}" name="Asbestos Supervisor Refresher"/>
    <tableColumn id="9" xr3:uid="{02C91983-D313-469D-BD68-BEBB7209B1E4}" name="Competent Person for Fall Protection Course"/>
    <tableColumn id="10" xr3:uid="{12AC4B62-B0FD-470F-B902-BAC4C8BB05BE}" name="Confined Space Safety "/>
    <tableColumn id="11" xr3:uid="{B76BBB8F-ADD1-4F53-9D14-F6CA5852D5E7}" name="Construction Safety Standards"/>
    <tableColumn id="12" xr3:uid="{23B3AD00-51BD-410F-A704-B5DD0077C4A4}" name="Emergency Asbestos Response Team"/>
    <tableColumn id="13" xr3:uid="{12AA430A-876F-462D-9240-9889F88BC742}" name="Facility Response Team Five Day"/>
    <tableColumn id="14" xr3:uid="{90D460CE-949F-49E1-AF7A-D099C50E0ABB}" name="Facility Response Team Three Day"/>
    <tableColumn id="15" xr3:uid="{EA0558CB-A3EE-41D1-8270-387B65429745}" name="Fire Protection &amp; Life Safety"/>
    <tableColumn id="16" xr3:uid="{ED04441E-39EC-488D-A492-C74992A2BC35}" name="Hazardous Substance Incident Response Management"/>
    <tableColumn id="17" xr3:uid="{D9D030FE-EC0F-482D-A3DE-DA62E4F3A753}" name="Hazardous Substance Incident Response Management  Refresher"/>
    <tableColumn id="18" xr3:uid="{D4EA12FA-BBEB-40A7-9591-40AB54B24217}" name="Incident Command System 300 "/>
    <tableColumn id="19" xr3:uid="{7FA5D622-7D92-4E11-914F-714FD89DCF59}" name="Incident Command System 300 Refresher"/>
    <tableColumn id="20" xr3:uid="{C4E52DFA-BE1F-4350-B6FC-2C756C4BE3DE}" name="Incident Command System 400 "/>
    <tableColumn id="21" xr3:uid="{78FC86D6-04E5-46ED-8AC4-E927E0BD8628}" name="Industrial Noise and Hearing Conservation Program"/>
    <tableColumn id="22" xr3:uid="{71D7CCE6-73C2-4A31-B2D6-BCC80E535B76}" name="Oil Hazardous Substance Spill Response Tabletop Exercise "/>
    <tableColumn id="23" xr3:uid="{A720F4B2-1462-473D-A64E-FC5B74141AFC}" name="Respiratory Protection Program Management"/>
    <tableColumn id="24" xr3:uid="{4C8C235A-FDA9-4A1D-8F3B-4F810EEA6DC5}" name="Tank Managers Course"/>
    <tableColumn id="25" xr3:uid="{502AB6FD-0AEB-4404-AA31-41005DCB5B44}" name="Totals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DD5C06B-5EB6-44C4-AAC0-D050087E4BE4}" name="Table17" displayName="Table17" ref="A3:Y16" totalsRowShown="0">
  <autoFilter ref="A3:Y16" xr:uid="{7DD5C06B-5EB6-44C4-AAC0-D050087E4BE4}"/>
  <sortState xmlns:xlrd2="http://schemas.microsoft.com/office/spreadsheetml/2017/richdata2" ref="A4:Y16">
    <sortCondition ref="Q3:Q16"/>
  </sortState>
  <tableColumns count="25">
    <tableColumn id="1" xr3:uid="{00D6977A-4596-4E0B-A4DF-BD8701EF6CFE}" name="Command"/>
    <tableColumn id="2" xr3:uid="{444C7B10-8F6B-45B2-92CC-A04F643E92BC}" name="Location/Course Title"/>
    <tableColumn id="3" xr3:uid="{C2220971-5D51-4C03-A929-B063231B599F}" name="Asbestos Inspector"/>
    <tableColumn id="4" xr3:uid="{82943CE1-2872-40A7-BEF5-72DB1284CF6F}" name="Asbestos Inspector Refresher"/>
    <tableColumn id="5" xr3:uid="{F420A72E-B2DA-419F-A002-CA674D87FC7A}" name="Asbestos Management Planner"/>
    <tableColumn id="6" xr3:uid="{FBF48DB3-5B9D-4A0F-9739-C610B83EC478}" name="Asbestos Management Planner Refresher"/>
    <tableColumn id="7" xr3:uid="{AF3673DD-F6CB-4E78-9E63-29020F7D7D0D}" name="Asbestos Supervisor Initial"/>
    <tableColumn id="8" xr3:uid="{84B176C3-F81E-41CF-9C47-02316C1906F7}" name="Asbestos Supervisor Refresher"/>
    <tableColumn id="9" xr3:uid="{54DAC1C2-4623-428D-8BB8-5ED7D4D9AE01}" name="Competent Person for Fall Protection Course"/>
    <tableColumn id="10" xr3:uid="{ED9BFA56-EC38-4F99-B0E7-E6D7DB023964}" name="Confined Space Safety "/>
    <tableColumn id="11" xr3:uid="{D5FBF7FD-9E12-4F20-BA7F-16B2D6D9D244}" name="Construction Safety Standards"/>
    <tableColumn id="12" xr3:uid="{A605C438-CC2A-4DFC-86B6-C4D7D40940D1}" name="Emergency Asbestos Response Team"/>
    <tableColumn id="13" xr3:uid="{7CD2495D-229D-4628-85C3-B567E09BF6BF}" name="Facility Response Team Five Day"/>
    <tableColumn id="14" xr3:uid="{CA7A45F0-E9BF-43C8-9AE5-76D3948CEAE8}" name="Facility Response Team Three Day"/>
    <tableColumn id="15" xr3:uid="{470BC212-9C78-4160-AE88-3A2800F884F1}" name="Fire Protection &amp; Life Safety"/>
    <tableColumn id="16" xr3:uid="{E1F69284-5360-4C78-A9B2-B6AEE1290B34}" name="Hazardous Substance Incident Response Management"/>
    <tableColumn id="17" xr3:uid="{7668F74A-3205-4E25-B241-B8E31BC044AF}" name="Hazardous Substance Incident Response Management  Refresher"/>
    <tableColumn id="18" xr3:uid="{66C10CDD-8DCF-4685-B8C1-A4D4CB0B4864}" name="Incident Command System 300 "/>
    <tableColumn id="19" xr3:uid="{2BD69F0D-C745-404C-8D0A-530CBB995A77}" name="Incident Command System 300 Refresher"/>
    <tableColumn id="20" xr3:uid="{3135D483-675A-4858-8E6B-BED3A8B6C7A6}" name="Incident Command System 400 "/>
    <tableColumn id="21" xr3:uid="{DF756E25-7301-4097-8CA4-33C6692647DF}" name="Industrial Noise and Hearing Conservation Program"/>
    <tableColumn id="22" xr3:uid="{B7E8F1C8-8072-4757-92C2-F05D9D0B71A4}" name="Oil Hazardous Substance Spill Response Tabletop Exercise "/>
    <tableColumn id="23" xr3:uid="{1F2E392B-E9C8-4F1F-8CE7-22A7826D2896}" name="Respiratory Protection Program Management"/>
    <tableColumn id="24" xr3:uid="{EFF7FD89-B5F8-4E81-9CCE-99B53CD040F7}" name="Tank Managers Course"/>
    <tableColumn id="25" xr3:uid="{CDDC9169-7109-4CE6-A3EB-45CFD8D071A6}" name="Total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B2:AB44"/>
  <sheetViews>
    <sheetView zoomScale="90" zoomScaleNormal="90" workbookViewId="0">
      <selection activeCell="P33" sqref="P33"/>
    </sheetView>
  </sheetViews>
  <sheetFormatPr defaultRowHeight="15" x14ac:dyDescent="0.25"/>
  <cols>
    <col min="2" max="2" width="73.42578125" bestFit="1" customWidth="1"/>
    <col min="20" max="20" width="10.85546875" customWidth="1"/>
    <col min="26" max="26" width="7.140625" customWidth="1"/>
  </cols>
  <sheetData>
    <row r="2" spans="2:28" x14ac:dyDescent="0.25">
      <c r="B2" s="3" t="s">
        <v>0</v>
      </c>
      <c r="C2" s="16"/>
      <c r="D2" s="16"/>
      <c r="E2" s="16"/>
      <c r="F2" s="16"/>
      <c r="G2" s="3"/>
      <c r="H2" s="3"/>
      <c r="I2" s="3"/>
      <c r="J2" s="3"/>
      <c r="K2" s="16"/>
      <c r="L2" s="16"/>
      <c r="M2" s="16"/>
      <c r="N2" s="16"/>
    </row>
    <row r="3" spans="2:28" ht="15.75" thickBot="1" x14ac:dyDescent="0.3">
      <c r="B3" s="76" t="e">
        <f ca="1">ModDate()</f>
        <v>#NAME?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2:28" ht="15.75" x14ac:dyDescent="0.25">
      <c r="B4" s="489" t="s">
        <v>1</v>
      </c>
      <c r="C4" s="490"/>
      <c r="D4" s="490"/>
      <c r="E4" s="490"/>
      <c r="F4" s="490"/>
      <c r="G4" s="490"/>
      <c r="H4" s="411"/>
      <c r="I4" s="411"/>
      <c r="J4" s="411"/>
      <c r="K4" s="491"/>
      <c r="L4" s="492"/>
      <c r="M4" s="493"/>
      <c r="N4" s="493"/>
    </row>
    <row r="5" spans="2:28" ht="60" x14ac:dyDescent="0.25">
      <c r="B5" s="77" t="s">
        <v>2</v>
      </c>
      <c r="C5" s="21" t="s">
        <v>3</v>
      </c>
      <c r="D5" s="21" t="s">
        <v>4</v>
      </c>
      <c r="E5" s="21" t="s">
        <v>5</v>
      </c>
      <c r="F5" s="21" t="s">
        <v>6</v>
      </c>
      <c r="G5" s="21" t="s">
        <v>7</v>
      </c>
      <c r="H5" s="62" t="s">
        <v>8</v>
      </c>
      <c r="I5" s="62" t="s">
        <v>9</v>
      </c>
      <c r="J5" s="62" t="s">
        <v>10</v>
      </c>
      <c r="K5" s="63" t="s">
        <v>11</v>
      </c>
      <c r="L5" s="64" t="s">
        <v>12</v>
      </c>
      <c r="M5" s="65" t="s">
        <v>13</v>
      </c>
      <c r="N5" s="65" t="s">
        <v>14</v>
      </c>
    </row>
    <row r="6" spans="2:28" ht="15.75" x14ac:dyDescent="0.25">
      <c r="B6" s="78" t="s">
        <v>15</v>
      </c>
      <c r="C6" s="36"/>
      <c r="D6" s="36" t="s">
        <v>16</v>
      </c>
      <c r="E6" s="36">
        <f>COUNTIFS(Table2[Course Title],Table3112[[#This Row],[Courses - Planned vs Need (Active Courses)]],Table2[Open Quotas],"0")</f>
        <v>0</v>
      </c>
      <c r="F6" s="66">
        <f>COUNTIFS(Table2[Course Title],Table3112[[#This Row],[Courses - Planned vs Need (Active Courses)]],Table2[Location],"Global Online",Table2[Open Quotas],"0")</f>
        <v>0</v>
      </c>
      <c r="G6" s="36">
        <f>Table3112[[#This Row],[Course Offerings Todate]]-Table3112[[#This Row],[Online]]</f>
        <v>0</v>
      </c>
      <c r="H6" s="49">
        <v>45</v>
      </c>
      <c r="I6" s="36">
        <f>Table3112[[#This Row],[Course Offerings Todate]]*Table3112[[#This Row],[Quotas Per Convening]]</f>
        <v>0</v>
      </c>
      <c r="J6" s="36">
        <f>SUM(Table3112[[#This Row],[Total Grads]]+Table3112[[#This Row],[Fails]]+Table3112[[#This Row],[No Shows]])</f>
        <v>0</v>
      </c>
      <c r="K6" s="36">
        <f>SUMIF(Table2[Course Title],Table3112[[#This Row],[Courses - Planned vs Need (Active Courses)]],Table2[Graduates])</f>
        <v>0</v>
      </c>
      <c r="L6" s="36">
        <f>SUMIF(Table2[Course Title],Table3112[[#This Row],[Courses - Planned vs Need (Active Courses)]],Table2[Fail])</f>
        <v>0</v>
      </c>
      <c r="M6" s="36">
        <f>SUMIF(Table2[Course Title],Table3112[[#This Row],[Courses - Planned vs Need (Active Courses)]],Table2[No Shows])</f>
        <v>0</v>
      </c>
      <c r="N6" s="36">
        <f>SUMIF(Table2[Course Title],Table3112[[#This Row],[Courses - Planned vs Need (Active Courses)]],Table2[Walk-ins])</f>
        <v>0</v>
      </c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</row>
    <row r="7" spans="2:28" ht="57" customHeight="1" x14ac:dyDescent="0.25">
      <c r="B7" s="79" t="s">
        <v>17</v>
      </c>
      <c r="C7" s="36" t="s">
        <v>18</v>
      </c>
      <c r="D7" s="36" t="s">
        <v>16</v>
      </c>
      <c r="E7" s="36">
        <f>COUNTIFS(Table2[Course Title],Table3112[[#This Row],[Courses - Planned vs Need (Active Courses)]],Table2[Open Quotas],"0")</f>
        <v>0</v>
      </c>
      <c r="F7" s="66">
        <f>COUNTIFS(Table2[Course Title],Table3112[[#This Row],[Courses - Planned vs Need (Active Courses)]],Table2[Location],"Global Online",Table2[Open Quotas],"0")</f>
        <v>0</v>
      </c>
      <c r="G7" s="36">
        <f>Table3112[[#This Row],[Course Offerings Todate]]-Table3112[[#This Row],[Online]]</f>
        <v>0</v>
      </c>
      <c r="H7" s="34">
        <v>40</v>
      </c>
      <c r="I7" s="36">
        <f>Table3112[[#This Row],[Course Offerings Todate]]*Table3112[[#This Row],[Quotas Per Convening]]</f>
        <v>0</v>
      </c>
      <c r="J7" s="36">
        <f>SUM(Table3112[[#This Row],[Total Grads]]+Table3112[[#This Row],[Fails]]+Table3112[[#This Row],[No Shows]])</f>
        <v>0</v>
      </c>
      <c r="K7" s="36">
        <f>SUMIF(Table2[Course Title],Table3112[[#This Row],[Courses - Planned vs Need (Active Courses)]],Table2[Graduates])</f>
        <v>0</v>
      </c>
      <c r="L7" s="36">
        <f>SUMIF(Table2[Course Title],Table3112[[#This Row],[Courses - Planned vs Need (Active Courses)]],Table2[Fail])</f>
        <v>0</v>
      </c>
      <c r="M7" s="36">
        <f>SUMIF(Table2[Course Title],Table3112[[#This Row],[Courses - Planned vs Need (Active Courses)]],Table2[No Shows])</f>
        <v>0</v>
      </c>
      <c r="N7" s="36">
        <f>SUMIF(Table2[Course Title],Table3112[[#This Row],[Courses - Planned vs Need (Active Courses)]],Table2[Walk-ins])</f>
        <v>0</v>
      </c>
      <c r="O7" s="67"/>
      <c r="P7" s="82" t="s">
        <v>19</v>
      </c>
      <c r="Q7" s="82" t="s">
        <v>6</v>
      </c>
      <c r="R7" s="82" t="s">
        <v>7</v>
      </c>
      <c r="S7" s="82" t="s">
        <v>9</v>
      </c>
      <c r="T7" s="83" t="s">
        <v>20</v>
      </c>
      <c r="U7" s="82" t="s">
        <v>21</v>
      </c>
      <c r="V7" s="82" t="s">
        <v>22</v>
      </c>
      <c r="W7" s="82" t="s">
        <v>12</v>
      </c>
      <c r="X7" s="82" t="s">
        <v>23</v>
      </c>
      <c r="Y7" s="82" t="s">
        <v>24</v>
      </c>
      <c r="Z7" s="82" t="s">
        <v>25</v>
      </c>
      <c r="AA7" s="82" t="s">
        <v>26</v>
      </c>
      <c r="AB7" s="82" t="s">
        <v>27</v>
      </c>
    </row>
    <row r="8" spans="2:28" ht="15.75" x14ac:dyDescent="0.25">
      <c r="B8" s="79" t="s">
        <v>28</v>
      </c>
      <c r="C8" s="36" t="s">
        <v>18</v>
      </c>
      <c r="D8" s="36" t="s">
        <v>16</v>
      </c>
      <c r="E8" s="36">
        <f>COUNTIFS(Table2[Course Title],Table3112[[#This Row],[Courses - Planned vs Need (Active Courses)]],Table2[Open Quotas],"0")</f>
        <v>0</v>
      </c>
      <c r="F8" s="66">
        <f>COUNTIFS(Table2[Course Title],Table3112[[#This Row],[Courses - Planned vs Need (Active Courses)]],Table2[Location],"Global Online",Table2[Open Quotas],"0")</f>
        <v>0</v>
      </c>
      <c r="G8" s="36">
        <f>Table3112[[#This Row],[Course Offerings Todate]]-Table3112[[#This Row],[Online]]</f>
        <v>0</v>
      </c>
      <c r="H8" s="34">
        <v>40</v>
      </c>
      <c r="I8" s="36">
        <f>Table3112[[#This Row],[Course Offerings Todate]]*Table3112[[#This Row],[Quotas Per Convening]]</f>
        <v>0</v>
      </c>
      <c r="J8" s="36">
        <f>SUM(Table3112[[#This Row],[Total Grads]]+Table3112[[#This Row],[Fails]]+Table3112[[#This Row],[No Shows]])</f>
        <v>0</v>
      </c>
      <c r="K8" s="36">
        <f>SUMIF(Table2[Course Title],Table3112[[#This Row],[Courses - Planned vs Need (Active Courses)]],Table2[Graduates])</f>
        <v>0</v>
      </c>
      <c r="L8" s="36">
        <f>SUMIF(Table2[Course Title],Table3112[[#This Row],[Courses - Planned vs Need (Active Courses)]],Table2[Fail])</f>
        <v>0</v>
      </c>
      <c r="M8" s="36">
        <f>SUMIF(Table2[Course Title],Table3112[[#This Row],[Courses - Planned vs Need (Active Courses)]],Table2[No Shows])</f>
        <v>0</v>
      </c>
      <c r="N8" s="36">
        <f>SUMIF(Table2[Course Title],Table3112[[#This Row],[Courses - Planned vs Need (Active Courses)]],Table2[Walk-ins])</f>
        <v>0</v>
      </c>
      <c r="O8" s="67"/>
      <c r="P8" s="68" t="s">
        <v>16</v>
      </c>
      <c r="Q8" s="69">
        <f>SUM(F6:F15)</f>
        <v>0</v>
      </c>
      <c r="R8" s="69">
        <f>SUM(G6:G15)</f>
        <v>0</v>
      </c>
      <c r="S8" s="69">
        <f>SUM(I6:I15)</f>
        <v>0</v>
      </c>
      <c r="T8" s="69">
        <f>SUM(J6:J15)</f>
        <v>0</v>
      </c>
      <c r="U8" s="69">
        <f>SUM(K6:K15)</f>
        <v>0</v>
      </c>
      <c r="V8" s="74" t="e">
        <f>U8/T8</f>
        <v>#DIV/0!</v>
      </c>
      <c r="W8" s="69">
        <f t="shared" ref="W8" si="0">SUM(L6:L15)</f>
        <v>0</v>
      </c>
      <c r="X8" s="74" t="e">
        <f>W8/T8</f>
        <v>#DIV/0!</v>
      </c>
      <c r="Y8" s="69">
        <f>SUM(M6:M15)</f>
        <v>0</v>
      </c>
      <c r="Z8" s="74" t="e">
        <f>Y8/T8</f>
        <v>#DIV/0!</v>
      </c>
      <c r="AA8" s="69">
        <f>SUM(N6:N15)</f>
        <v>0</v>
      </c>
      <c r="AB8" s="75" t="e">
        <f>AA8/T8</f>
        <v>#DIV/0!</v>
      </c>
    </row>
    <row r="9" spans="2:28" ht="15.75" x14ac:dyDescent="0.25">
      <c r="B9" s="79" t="s">
        <v>29</v>
      </c>
      <c r="C9" s="36" t="s">
        <v>18</v>
      </c>
      <c r="D9" s="36" t="s">
        <v>16</v>
      </c>
      <c r="E9" s="36">
        <f>COUNTIFS(Table2[Course Title],Table3112[[#This Row],[Courses - Planned vs Need (Active Courses)]],Table2[Open Quotas],"0")</f>
        <v>0</v>
      </c>
      <c r="F9" s="66">
        <f>COUNTIFS(Table2[Course Title],Table3112[[#This Row],[Courses - Planned vs Need (Active Courses)]],Table2[Location],"Global Online",Table2[Open Quotas],"0")</f>
        <v>0</v>
      </c>
      <c r="G9" s="36">
        <f>Table3112[[#This Row],[Course Offerings Todate]]-Table3112[[#This Row],[Online]]</f>
        <v>0</v>
      </c>
      <c r="H9" s="34">
        <v>25</v>
      </c>
      <c r="I9" s="36">
        <f>Table3112[[#This Row],[Course Offerings Todate]]*Table3112[[#This Row],[Quotas Per Convening]]</f>
        <v>0</v>
      </c>
      <c r="J9" s="36">
        <f>SUM(Table3112[[#This Row],[Total Grads]]+Table3112[[#This Row],[Fails]]+Table3112[[#This Row],[No Shows]])</f>
        <v>0</v>
      </c>
      <c r="K9" s="36">
        <f>SUMIF(Table2[Course Title],Table3112[[#This Row],[Courses - Planned vs Need (Active Courses)]],Table2[Graduates])</f>
        <v>0</v>
      </c>
      <c r="L9" s="36">
        <f>SUMIF(Table2[Course Title],Table3112[[#This Row],[Courses - Planned vs Need (Active Courses)]],Table2[Fail])</f>
        <v>0</v>
      </c>
      <c r="M9" s="36">
        <f>SUMIF(Table2[Course Title],Table3112[[#This Row],[Courses - Planned vs Need (Active Courses)]],Table2[No Shows])</f>
        <v>0</v>
      </c>
      <c r="N9" s="36">
        <f>SUMIF(Table2[Course Title],Table3112[[#This Row],[Courses - Planned vs Need (Active Courses)]],Table2[Walk-ins])</f>
        <v>0</v>
      </c>
      <c r="O9" s="67"/>
      <c r="P9" s="68" t="s">
        <v>30</v>
      </c>
      <c r="Q9" s="69">
        <f>SUM(F18:F43)</f>
        <v>0</v>
      </c>
      <c r="R9" s="69">
        <f>SUM(G18:G43)</f>
        <v>0</v>
      </c>
      <c r="S9" s="69">
        <f>SUM(I18:I43)</f>
        <v>0</v>
      </c>
      <c r="T9" s="69">
        <f>SUM(J18:J43)</f>
        <v>0</v>
      </c>
      <c r="U9" s="69">
        <f>SUM(K18:K43)</f>
        <v>0</v>
      </c>
      <c r="V9" s="74" t="e">
        <f>U9/T9</f>
        <v>#DIV/0!</v>
      </c>
      <c r="W9" s="69">
        <f t="shared" ref="W9" si="1">SUM(L18:L43)</f>
        <v>0</v>
      </c>
      <c r="X9" s="74" t="e">
        <f>W9/T9</f>
        <v>#DIV/0!</v>
      </c>
      <c r="Y9" s="69">
        <f>SUM(M18:M43)</f>
        <v>0</v>
      </c>
      <c r="Z9" s="74" t="e">
        <f>Y9/T9</f>
        <v>#DIV/0!</v>
      </c>
      <c r="AA9" s="69">
        <f>SUM(N18:N43)</f>
        <v>0</v>
      </c>
      <c r="AB9" s="84" t="e">
        <f>AA9/T9</f>
        <v>#DIV/0!</v>
      </c>
    </row>
    <row r="10" spans="2:28" ht="15.75" x14ac:dyDescent="0.25">
      <c r="B10" s="79" t="s">
        <v>31</v>
      </c>
      <c r="C10" s="36" t="s">
        <v>18</v>
      </c>
      <c r="D10" s="36" t="s">
        <v>16</v>
      </c>
      <c r="E10" s="36">
        <f>COUNTIFS(Table2[Course Title],Table3112[[#This Row],[Courses - Planned vs Need (Active Courses)]],Table2[Open Quotas],"0")</f>
        <v>0</v>
      </c>
      <c r="F10" s="66">
        <f>COUNTIFS(Table2[Course Title],Table3112[[#This Row],[Courses - Planned vs Need (Active Courses)]],Table2[Location],"Global Online",Table2[Open Quotas],"0")</f>
        <v>0</v>
      </c>
      <c r="G10" s="36">
        <f>Table3112[[#This Row],[Course Offerings Todate]]-Table3112[[#This Row],[Online]]</f>
        <v>0</v>
      </c>
      <c r="H10" s="34">
        <v>30</v>
      </c>
      <c r="I10" s="36">
        <f>Table3112[[#This Row],[Course Offerings Todate]]*Table3112[[#This Row],[Quotas Per Convening]]</f>
        <v>0</v>
      </c>
      <c r="J10" s="36">
        <f>SUM(Table3112[[#This Row],[Total Grads]]+Table3112[[#This Row],[Fails]]+Table3112[[#This Row],[No Shows]])</f>
        <v>0</v>
      </c>
      <c r="K10" s="36">
        <f>SUMIF(Table2[Course Title],Table3112[[#This Row],[Courses - Planned vs Need (Active Courses)]],Table2[Graduates])</f>
        <v>0</v>
      </c>
      <c r="L10" s="36">
        <f>SUMIF(Table2[Course Title],Table3112[[#This Row],[Courses - Planned vs Need (Active Courses)]],Table2[Fail])</f>
        <v>0</v>
      </c>
      <c r="M10" s="36">
        <f>SUMIF(Table2[Course Title],Table3112[[#This Row],[Courses - Planned vs Need (Active Courses)]],Table2[No Shows])</f>
        <v>0</v>
      </c>
      <c r="N10" s="36">
        <f>SUMIF(Table2[Course Title],Table3112[[#This Row],[Courses - Planned vs Need (Active Courses)]],Table2[Walk-ins])</f>
        <v>0</v>
      </c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2:28" ht="15.75" x14ac:dyDescent="0.25">
      <c r="B11" s="79" t="s">
        <v>32</v>
      </c>
      <c r="C11" s="36" t="s">
        <v>18</v>
      </c>
      <c r="D11" s="36" t="s">
        <v>16</v>
      </c>
      <c r="E11" s="36">
        <f>COUNTIFS(Table2[Course Title],Table3112[[#This Row],[Courses - Planned vs Need (Active Courses)]],Table2[Open Quotas],"0")</f>
        <v>0</v>
      </c>
      <c r="F11" s="66">
        <f>COUNTIFS(Table2[Course Title],Table3112[[#This Row],[Courses - Planned vs Need (Active Courses)]],Table2[Location],"Global Online",Table2[Open Quotas],"0")</f>
        <v>0</v>
      </c>
      <c r="G11" s="36">
        <f>Table3112[[#This Row],[Course Offerings Todate]]-Table3112[[#This Row],[Online]]</f>
        <v>0</v>
      </c>
      <c r="H11" s="34">
        <v>30</v>
      </c>
      <c r="I11" s="36">
        <f>Table3112[[#This Row],[Course Offerings Todate]]*Table3112[[#This Row],[Quotas Per Convening]]</f>
        <v>0</v>
      </c>
      <c r="J11" s="36">
        <f>SUM(Table3112[[#This Row],[Total Grads]]+Table3112[[#This Row],[Fails]]+Table3112[[#This Row],[No Shows]])</f>
        <v>0</v>
      </c>
      <c r="K11" s="36">
        <f>SUMIF(Table2[Course Title],Table3112[[#This Row],[Courses - Planned vs Need (Active Courses)]],Table2[Graduates])</f>
        <v>0</v>
      </c>
      <c r="L11" s="36">
        <f>SUMIF(Table2[Course Title],Table3112[[#This Row],[Courses - Planned vs Need (Active Courses)]],Table2[Fail])</f>
        <v>0</v>
      </c>
      <c r="M11" s="36">
        <f>SUMIF(Table2[Course Title],Table3112[[#This Row],[Courses - Planned vs Need (Active Courses)]],Table2[No Shows])</f>
        <v>0</v>
      </c>
      <c r="N11" s="36">
        <f>SUMIF(Table2[Course Title],Table3112[[#This Row],[Courses - Planned vs Need (Active Courses)]],Table2[Walk-ins])</f>
        <v>0</v>
      </c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2:28" ht="15.75" x14ac:dyDescent="0.25">
      <c r="B12" s="79" t="s">
        <v>33</v>
      </c>
      <c r="C12" s="36" t="s">
        <v>18</v>
      </c>
      <c r="D12" s="36" t="s">
        <v>16</v>
      </c>
      <c r="E12" s="36">
        <f>COUNTIFS(Table2[Course Title],Table3112[[#This Row],[Courses - Planned vs Need (Active Courses)]],Table2[Open Quotas],"0")</f>
        <v>0</v>
      </c>
      <c r="F12" s="66">
        <f>COUNTIFS(Table2[Course Title],Table3112[[#This Row],[Courses - Planned vs Need (Active Courses)]],Table2[Location],"Global Online",Table2[Open Quotas],"0")</f>
        <v>0</v>
      </c>
      <c r="G12" s="36">
        <f>Table3112[[#This Row],[Course Offerings Todate]]-Table3112[[#This Row],[Online]]</f>
        <v>0</v>
      </c>
      <c r="H12" s="34">
        <v>30</v>
      </c>
      <c r="I12" s="36">
        <f>Table3112[[#This Row],[Course Offerings Todate]]*Table3112[[#This Row],[Quotas Per Convening]]</f>
        <v>0</v>
      </c>
      <c r="J12" s="36">
        <f>SUM(Table3112[[#This Row],[Total Grads]]+Table3112[[#This Row],[Fails]]+Table3112[[#This Row],[No Shows]])</f>
        <v>0</v>
      </c>
      <c r="K12" s="36">
        <f>SUMIF(Table2[Course Title],Table3112[[#This Row],[Courses - Planned vs Need (Active Courses)]],Table2[Graduates])</f>
        <v>0</v>
      </c>
      <c r="L12" s="36">
        <f>SUMIF(Table2[Course Title],Table3112[[#This Row],[Courses - Planned vs Need (Active Courses)]],Table2[Fail])</f>
        <v>0</v>
      </c>
      <c r="M12" s="36">
        <f>SUMIF(Table2[Course Title],Table3112[[#This Row],[Courses - Planned vs Need (Active Courses)]],Table2[No Shows])</f>
        <v>0</v>
      </c>
      <c r="N12" s="36">
        <f>SUMIF(Table2[Course Title],Table3112[[#This Row],[Courses - Planned vs Need (Active Courses)]],Table2[Walk-ins])</f>
        <v>0</v>
      </c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2:28" ht="15.75" x14ac:dyDescent="0.25">
      <c r="B13" s="79" t="s">
        <v>34</v>
      </c>
      <c r="C13" s="36" t="s">
        <v>18</v>
      </c>
      <c r="D13" s="36" t="s">
        <v>16</v>
      </c>
      <c r="E13" s="36">
        <f>COUNTIFS(Table2[Course Title],Table3112[[#This Row],[Courses - Planned vs Need (Active Courses)]],Table2[Open Quotas],"0")</f>
        <v>0</v>
      </c>
      <c r="F13" s="66">
        <f>COUNTIFS(Table2[Course Title],Table3112[[#This Row],[Courses - Planned vs Need (Active Courses)]],Table2[Location],"Global Online",Table2[Open Quotas],"0")</f>
        <v>0</v>
      </c>
      <c r="G13" s="36">
        <f>Table3112[[#This Row],[Course Offerings Todate]]-Table3112[[#This Row],[Online]]</f>
        <v>0</v>
      </c>
      <c r="H13" s="34">
        <v>30</v>
      </c>
      <c r="I13" s="36">
        <f>Table3112[[#This Row],[Course Offerings Todate]]*Table3112[[#This Row],[Quotas Per Convening]]</f>
        <v>0</v>
      </c>
      <c r="J13" s="36">
        <f>SUM(Table3112[[#This Row],[Total Grads]]+Table3112[[#This Row],[Fails]]+Table3112[[#This Row],[No Shows]])</f>
        <v>0</v>
      </c>
      <c r="K13" s="36">
        <f>SUMIF(Table2[Course Title],Table3112[[#This Row],[Courses - Planned vs Need (Active Courses)]],Table2[Graduates])</f>
        <v>0</v>
      </c>
      <c r="L13" s="36">
        <f>SUMIF(Table2[Course Title],Table3112[[#This Row],[Courses - Planned vs Need (Active Courses)]],Table2[Fail])</f>
        <v>0</v>
      </c>
      <c r="M13" s="36">
        <f>SUMIF(Table2[Course Title],Table3112[[#This Row],[Courses - Planned vs Need (Active Courses)]],Table2[No Shows])</f>
        <v>0</v>
      </c>
      <c r="N13" s="36">
        <f>SUMIF(Table2[Course Title],Table3112[[#This Row],[Courses - Planned vs Need (Active Courses)]],Table2[Walk-ins])</f>
        <v>0</v>
      </c>
    </row>
    <row r="14" spans="2:28" ht="15.75" x14ac:dyDescent="0.25">
      <c r="B14" s="79" t="s">
        <v>35</v>
      </c>
      <c r="C14" s="36" t="s">
        <v>18</v>
      </c>
      <c r="D14" s="36" t="s">
        <v>16</v>
      </c>
      <c r="E14" s="36">
        <f>COUNTIFS(Table2[Course Title],Table3112[[#This Row],[Courses - Planned vs Need (Active Courses)]],Table2[Open Quotas],"0")</f>
        <v>0</v>
      </c>
      <c r="F14" s="66">
        <f>COUNTIFS(Table2[Course Title],Table3112[[#This Row],[Courses - Planned vs Need (Active Courses)]],Table2[Location],"Global Online",Table2[Open Quotas],"0")</f>
        <v>0</v>
      </c>
      <c r="G14" s="36">
        <f>Table3112[[#This Row],[Course Offerings Todate]]-Table3112[[#This Row],[Online]]</f>
        <v>0</v>
      </c>
      <c r="H14" s="34">
        <v>25</v>
      </c>
      <c r="I14" s="36">
        <f>Table3112[[#This Row],[Course Offerings Todate]]*Table3112[[#This Row],[Quotas Per Convening]]</f>
        <v>0</v>
      </c>
      <c r="J14" s="36">
        <f>SUM(Table3112[[#This Row],[Total Grads]]+Table3112[[#This Row],[Fails]]+Table3112[[#This Row],[No Shows]])</f>
        <v>0</v>
      </c>
      <c r="K14" s="36">
        <f>SUMIF(Table2[Course Title],Table3112[[#This Row],[Courses - Planned vs Need (Active Courses)]],Table2[Graduates])</f>
        <v>0</v>
      </c>
      <c r="L14" s="36">
        <f>SUMIF(Table2[Course Title],Table3112[[#This Row],[Courses - Planned vs Need (Active Courses)]],Table2[Fail])</f>
        <v>0</v>
      </c>
      <c r="M14" s="36">
        <f>SUMIF(Table2[Course Title],Table3112[[#This Row],[Courses - Planned vs Need (Active Courses)]],Table2[No Shows])</f>
        <v>0</v>
      </c>
      <c r="N14" s="36">
        <f>SUMIF(Table2[Course Title],Table3112[[#This Row],[Courses - Planned vs Need (Active Courses)]],Table2[Walk-ins])</f>
        <v>0</v>
      </c>
    </row>
    <row r="15" spans="2:28" ht="15.75" x14ac:dyDescent="0.25">
      <c r="B15" s="79" t="s">
        <v>36</v>
      </c>
      <c r="C15" s="36" t="s">
        <v>18</v>
      </c>
      <c r="D15" s="36" t="s">
        <v>16</v>
      </c>
      <c r="E15" s="36">
        <f>COUNTIFS(Table2[Course Title],Table3112[[#This Row],[Courses - Planned vs Need (Active Courses)]],Table2[Open Quotas],"0")</f>
        <v>0</v>
      </c>
      <c r="F15" s="66">
        <f>COUNTIFS(Table2[Course Title],Table3112[[#This Row],[Courses - Planned vs Need (Active Courses)]],Table2[Location],"Global Online",Table2[Open Quotas],"0")</f>
        <v>0</v>
      </c>
      <c r="G15" s="36">
        <f>Table3112[[#This Row],[Course Offerings Todate]]-Table3112[[#This Row],[Online]]</f>
        <v>0</v>
      </c>
      <c r="H15" s="34">
        <v>25</v>
      </c>
      <c r="I15" s="36">
        <f>Table3112[[#This Row],[Course Offerings Todate]]*Table3112[[#This Row],[Quotas Per Convening]]</f>
        <v>0</v>
      </c>
      <c r="J15" s="36">
        <f>SUM(Table3112[[#This Row],[Total Grads]]+Table3112[[#This Row],[Fails]]+Table3112[[#This Row],[No Shows]])</f>
        <v>0</v>
      </c>
      <c r="K15" s="36">
        <f>SUMIF(Table2[Course Title],Table3112[[#This Row],[Courses - Planned vs Need (Active Courses)]],Table2[Graduates])</f>
        <v>0</v>
      </c>
      <c r="L15" s="36">
        <f>SUMIF(Table2[Course Title],Table3112[[#This Row],[Courses - Planned vs Need (Active Courses)]],Table2[Fail])</f>
        <v>0</v>
      </c>
      <c r="M15" s="36">
        <f>SUMIF(Table2[Course Title],Table3112[[#This Row],[Courses - Planned vs Need (Active Courses)]],Table2[No Shows])</f>
        <v>0</v>
      </c>
      <c r="N15" s="36">
        <f>SUMIF(Table2[Course Title],Table3112[[#This Row],[Courses - Planned vs Need (Active Courses)]],Table2[Walk-ins])</f>
        <v>0</v>
      </c>
    </row>
    <row r="16" spans="2:28" ht="15.75" x14ac:dyDescent="0.25">
      <c r="B16" s="70"/>
      <c r="C16" s="70"/>
      <c r="D16" s="70"/>
      <c r="E16" s="36">
        <f>COUNTIFS(Table2[Course Title],Table3112[[#This Row],[Courses - Planned vs Need (Active Courses)]],Table2[Open Quotas],"0")</f>
        <v>0</v>
      </c>
      <c r="F16" s="66">
        <f>COUNTIFS(Table2[Course Title],Table3112[[#This Row],[Courses - Planned vs Need (Active Courses)]],Table2[Location],"Global Online",Table2[Open Quotas],"0")</f>
        <v>0</v>
      </c>
      <c r="G16" s="70"/>
      <c r="H16" s="70"/>
      <c r="I16" s="70"/>
      <c r="J16" s="71"/>
      <c r="K16" s="36">
        <f>SUMIF(Table2[Course Title],Table3112[[#This Row],[Courses - Planned vs Need (Active Courses)]],Table2[Graduates])</f>
        <v>0</v>
      </c>
      <c r="L16" s="36">
        <f>SUMIF(Table2[Course Title],Table3112[[#This Row],[Courses - Planned vs Need (Active Courses)]],Table2[Fail])</f>
        <v>0</v>
      </c>
      <c r="M16" s="36">
        <f>SUMIF(Table2[Course Title],Table3112[[#This Row],[Courses - Planned vs Need (Active Courses)]],Table2[No Shows])</f>
        <v>0</v>
      </c>
      <c r="N16" s="36">
        <f>SUMIF(Table2[Course Title],Table3112[[#This Row],[Courses - Planned vs Need (Active Courses)]],Table2[Walk-ins])</f>
        <v>0</v>
      </c>
    </row>
    <row r="17" spans="2:14" ht="15.75" x14ac:dyDescent="0.25">
      <c r="B17" s="80" t="s">
        <v>30</v>
      </c>
      <c r="C17" s="70"/>
      <c r="D17" s="70"/>
      <c r="E17" s="36">
        <f>COUNTIFS(Table2[Course Title],Table3112[[#This Row],[Courses - Planned vs Need (Active Courses)]],Table2[Open Quotas],"0")</f>
        <v>0</v>
      </c>
      <c r="F17" s="66">
        <f>COUNTIFS(Table2[Course Title],Table3112[[#This Row],[Courses - Planned vs Need (Active Courses)]],Table2[Location],"Global Online",Table2[Open Quotas],"0")</f>
        <v>0</v>
      </c>
      <c r="G17" s="70"/>
      <c r="H17" s="70"/>
      <c r="I17" s="70"/>
      <c r="J17" s="71"/>
      <c r="K17" s="36">
        <f>SUMIF(Table2[Course Title],Table3112[[#This Row],[Courses - Planned vs Need (Active Courses)]],Table2[Graduates])</f>
        <v>0</v>
      </c>
      <c r="L17" s="36">
        <f>SUMIF(Table2[Course Title],Table3112[[#This Row],[Courses - Planned vs Need (Active Courses)]],Table2[Fail])</f>
        <v>0</v>
      </c>
      <c r="M17" s="36">
        <f>SUMIF(Table2[Course Title],Table3112[[#This Row],[Courses - Planned vs Need (Active Courses)]],Table2[No Shows])</f>
        <v>0</v>
      </c>
      <c r="N17" s="36">
        <f>SUMIF(Table2[Course Title],Table3112[[#This Row],[Courses - Planned vs Need (Active Courses)]],Table2[Walk-ins])</f>
        <v>0</v>
      </c>
    </row>
    <row r="18" spans="2:14" ht="15.75" x14ac:dyDescent="0.25">
      <c r="B18" s="78" t="s">
        <v>37</v>
      </c>
      <c r="C18" s="36"/>
      <c r="D18" s="36" t="s">
        <v>30</v>
      </c>
      <c r="E18" s="36">
        <f>COUNTIFS(Table2[Course Title],Table3112[[#This Row],[Courses - Planned vs Need (Active Courses)]],Table2[Open Quotas],"0")</f>
        <v>0</v>
      </c>
      <c r="F18" s="66">
        <f>COUNTIFS(Table2[Course Title],Table3112[[#This Row],[Courses - Planned vs Need (Active Courses)]],Table2[Location],"Global Online",Table2[Open Quotas],"0")</f>
        <v>0</v>
      </c>
      <c r="G18" s="36">
        <f>Table3112[[#This Row],[Course Offerings Todate]]-Table3112[[#This Row],[Online]]</f>
        <v>0</v>
      </c>
      <c r="H18" s="34">
        <v>45</v>
      </c>
      <c r="I18" s="36">
        <f>Table3112[[#This Row],[Course Offerings Todate]]*Table3112[[#This Row],[Quotas Per Convening]]</f>
        <v>0</v>
      </c>
      <c r="J18" s="36">
        <f>SUM(Table3112[[#This Row],[Total Grads]]+Table3112[[#This Row],[Fails]]+Table3112[[#This Row],[No Shows]])</f>
        <v>0</v>
      </c>
      <c r="K18" s="36">
        <f>SUMIF(Table2[Course Title],Table3112[[#This Row],[Courses - Planned vs Need (Active Courses)]],Table2[Graduates])</f>
        <v>0</v>
      </c>
      <c r="L18" s="36">
        <f>SUMIF(Table2[Course Title],Table3112[[#This Row],[Courses - Planned vs Need (Active Courses)]],Table2[Fail])</f>
        <v>0</v>
      </c>
      <c r="M18" s="36">
        <f>SUMIF(Table2[Course Title],Table3112[[#This Row],[Courses - Planned vs Need (Active Courses)]],Table2[No Shows])</f>
        <v>0</v>
      </c>
      <c r="N18" s="36">
        <f>SUMIF(Table2[Course Title],Table3112[[#This Row],[Courses - Planned vs Need (Active Courses)]],Table2[Walk-ins])</f>
        <v>0</v>
      </c>
    </row>
    <row r="19" spans="2:14" ht="15.75" x14ac:dyDescent="0.25">
      <c r="B19" s="78" t="s">
        <v>38</v>
      </c>
      <c r="C19" s="36"/>
      <c r="D19" s="36" t="s">
        <v>30</v>
      </c>
      <c r="E19" s="36">
        <f>COUNTIFS(Table2[Course Title],Table3112[[#This Row],[Courses - Planned vs Need (Active Courses)]],Table2[Open Quotas],"0")</f>
        <v>0</v>
      </c>
      <c r="F19" s="66">
        <f>COUNTIFS(Table2[Course Title],Table3112[[#This Row],[Courses - Planned vs Need (Active Courses)]],Table2[Location],"Global Online",Table2[Open Quotas],"0")</f>
        <v>0</v>
      </c>
      <c r="G19" s="36">
        <f>Table3112[[#This Row],[Course Offerings Todate]]-Table3112[[#This Row],[Online]]</f>
        <v>0</v>
      </c>
      <c r="H19" s="34">
        <v>45</v>
      </c>
      <c r="I19" s="36">
        <f>Table3112[[#This Row],[Course Offerings Todate]]*Table3112[[#This Row],[Quotas Per Convening]]</f>
        <v>0</v>
      </c>
      <c r="J19" s="36">
        <f>SUM(Table3112[[#This Row],[Total Grads]]+Table3112[[#This Row],[Fails]]+Table3112[[#This Row],[No Shows]])</f>
        <v>0</v>
      </c>
      <c r="K19" s="36">
        <f>SUMIF(Table2[Course Title],Table3112[[#This Row],[Courses - Planned vs Need (Active Courses)]],Table2[Graduates])</f>
        <v>0</v>
      </c>
      <c r="L19" s="36">
        <f>SUMIF(Table2[Course Title],Table3112[[#This Row],[Courses - Planned vs Need (Active Courses)]],Table2[Fail])</f>
        <v>0</v>
      </c>
      <c r="M19" s="36">
        <f>SUMIF(Table2[Course Title],Table3112[[#This Row],[Courses - Planned vs Need (Active Courses)]],Table2[No Shows])</f>
        <v>0</v>
      </c>
      <c r="N19" s="36">
        <f>SUMIF(Table2[Course Title],Table3112[[#This Row],[Courses - Planned vs Need (Active Courses)]],Table2[Walk-ins])</f>
        <v>0</v>
      </c>
    </row>
    <row r="20" spans="2:14" ht="15.75" x14ac:dyDescent="0.25">
      <c r="B20" s="78" t="s">
        <v>39</v>
      </c>
      <c r="C20" s="36"/>
      <c r="D20" s="36" t="s">
        <v>30</v>
      </c>
      <c r="E20" s="36">
        <f>COUNTIFS(Table2[Course Title],Table3112[[#This Row],[Courses - Planned vs Need (Active Courses)]],Table2[Open Quotas],"0")</f>
        <v>0</v>
      </c>
      <c r="F20" s="66">
        <f>COUNTIFS(Table2[Course Title],Table3112[[#This Row],[Courses - Planned vs Need (Active Courses)]],Table2[Location],"Global Online",Table2[Open Quotas],"0")</f>
        <v>0</v>
      </c>
      <c r="G20" s="36">
        <f>Table3112[[#This Row],[Course Offerings Todate]]-Table3112[[#This Row],[Online]]</f>
        <v>0</v>
      </c>
      <c r="H20" s="34">
        <v>30</v>
      </c>
      <c r="I20" s="36">
        <f>Table3112[[#This Row],[Course Offerings Todate]]*Table3112[[#This Row],[Quotas Per Convening]]</f>
        <v>0</v>
      </c>
      <c r="J20" s="36">
        <f>SUM(Table3112[[#This Row],[Total Grads]]+Table3112[[#This Row],[Fails]]+Table3112[[#This Row],[No Shows]])</f>
        <v>0</v>
      </c>
      <c r="K20" s="36">
        <f>SUMIF(Table2[Course Title],Table3112[[#This Row],[Courses - Planned vs Need (Active Courses)]],Table2[Graduates])</f>
        <v>0</v>
      </c>
      <c r="L20" s="36">
        <f>SUMIF(Table2[Course Title],Table3112[[#This Row],[Courses - Planned vs Need (Active Courses)]],Table2[Fail])</f>
        <v>0</v>
      </c>
      <c r="M20" s="36">
        <f>SUMIF(Table2[Course Title],Table3112[[#This Row],[Courses - Planned vs Need (Active Courses)]],Table2[No Shows])</f>
        <v>0</v>
      </c>
      <c r="N20" s="36">
        <f>SUMIF(Table2[Course Title],Table3112[[#This Row],[Courses - Planned vs Need (Active Courses)]],Table2[Walk-ins])</f>
        <v>0</v>
      </c>
    </row>
    <row r="21" spans="2:14" ht="15.75" x14ac:dyDescent="0.25">
      <c r="B21" s="78" t="s">
        <v>40</v>
      </c>
      <c r="C21" s="36"/>
      <c r="D21" s="36" t="s">
        <v>30</v>
      </c>
      <c r="E21" s="36">
        <f>COUNTIFS(Table2[Course Title],Table3112[[#This Row],[Courses - Planned vs Need (Active Courses)]],Table2[Open Quotas],"0")</f>
        <v>0</v>
      </c>
      <c r="F21" s="66">
        <f>COUNTIFS(Table2[Course Title],Table3112[[#This Row],[Courses - Planned vs Need (Active Courses)]],Table2[Location],"Global Online",Table2[Open Quotas],"0")</f>
        <v>0</v>
      </c>
      <c r="G21" s="36">
        <f>Table3112[[#This Row],[Course Offerings Todate]]-Table3112[[#This Row],[Online]]</f>
        <v>0</v>
      </c>
      <c r="H21" s="34">
        <v>100</v>
      </c>
      <c r="I21" s="36">
        <f>Table3112[[#This Row],[Course Offerings Todate]]*Table3112[[#This Row],[Quotas Per Convening]]</f>
        <v>0</v>
      </c>
      <c r="J21" s="36">
        <f>SUM(Table3112[[#This Row],[Total Grads]]+Table3112[[#This Row],[Fails]]+Table3112[[#This Row],[No Shows]])</f>
        <v>0</v>
      </c>
      <c r="K21" s="36">
        <f>SUMIF(Table2[Course Title],Table3112[[#This Row],[Courses - Planned vs Need (Active Courses)]],Table2[Graduates])</f>
        <v>0</v>
      </c>
      <c r="L21" s="36">
        <f>SUMIF(Table2[Course Title],Table3112[[#This Row],[Courses - Planned vs Need (Active Courses)]],Table2[Fail])</f>
        <v>0</v>
      </c>
      <c r="M21" s="36">
        <f>SUMIF(Table2[Course Title],Table3112[[#This Row],[Courses - Planned vs Need (Active Courses)]],Table2[No Shows])</f>
        <v>0</v>
      </c>
      <c r="N21" s="36">
        <f>SUMIF(Table2[Course Title],Table3112[[#This Row],[Courses - Planned vs Need (Active Courses)]],Table2[Walk-ins])</f>
        <v>0</v>
      </c>
    </row>
    <row r="22" spans="2:14" ht="15.75" x14ac:dyDescent="0.25">
      <c r="B22" s="78" t="s">
        <v>41</v>
      </c>
      <c r="C22" s="36"/>
      <c r="D22" s="36" t="s">
        <v>30</v>
      </c>
      <c r="E22" s="36">
        <f>COUNTIFS(Table2[Course Title],Table3112[[#This Row],[Courses - Planned vs Need (Active Courses)]],Table2[Open Quotas],"0")</f>
        <v>0</v>
      </c>
      <c r="F22" s="66">
        <f>COUNTIFS(Table2[Course Title],Table3112[[#This Row],[Courses - Planned vs Need (Active Courses)]],Table2[Location],"Global Online",Table2[Open Quotas],"0")</f>
        <v>0</v>
      </c>
      <c r="G22" s="36">
        <f>Table3112[[#This Row],[Course Offerings Todate]]-Table3112[[#This Row],[Online]]</f>
        <v>0</v>
      </c>
      <c r="H22" s="34">
        <v>25</v>
      </c>
      <c r="I22" s="36">
        <f>Table3112[[#This Row],[Course Offerings Todate]]*Table3112[[#This Row],[Quotas Per Convening]]</f>
        <v>0</v>
      </c>
      <c r="J22" s="36">
        <f>SUM(Table3112[[#This Row],[Total Grads]]+Table3112[[#This Row],[Fails]]+Table3112[[#This Row],[No Shows]])</f>
        <v>0</v>
      </c>
      <c r="K22" s="36">
        <f>SUMIF(Table2[Course Title],Table3112[[#This Row],[Courses - Planned vs Need (Active Courses)]],Table2[Graduates])</f>
        <v>0</v>
      </c>
      <c r="L22" s="36">
        <f>SUMIF(Table2[Course Title],Table3112[[#This Row],[Courses - Planned vs Need (Active Courses)]],Table2[Fail])</f>
        <v>0</v>
      </c>
      <c r="M22" s="36">
        <f>SUMIF(Table2[Course Title],Table3112[[#This Row],[Courses - Planned vs Need (Active Courses)]],Table2[No Shows])</f>
        <v>0</v>
      </c>
      <c r="N22" s="36">
        <f>SUMIF(Table2[Course Title],Table3112[[#This Row],[Courses - Planned vs Need (Active Courses)]],Table2[Walk-ins])</f>
        <v>0</v>
      </c>
    </row>
    <row r="23" spans="2:14" ht="15.75" x14ac:dyDescent="0.25">
      <c r="B23" s="78" t="s">
        <v>42</v>
      </c>
      <c r="C23" s="36"/>
      <c r="D23" s="36" t="s">
        <v>30</v>
      </c>
      <c r="E23" s="36">
        <f>COUNTIFS(Table2[Course Title],Table3112[[#This Row],[Courses - Planned vs Need (Active Courses)]],Table2[Open Quotas],"0")</f>
        <v>0</v>
      </c>
      <c r="F23" s="66">
        <f>COUNTIFS(Table2[Course Title],Table3112[[#This Row],[Courses - Planned vs Need (Active Courses)]],Table2[Location],"Global Online",Table2[Open Quotas],"0")</f>
        <v>0</v>
      </c>
      <c r="G23" s="36">
        <f>Table3112[[#This Row],[Course Offerings Todate]]-Table3112[[#This Row],[Online]]</f>
        <v>0</v>
      </c>
      <c r="H23" s="34">
        <v>30</v>
      </c>
      <c r="I23" s="36">
        <f>Table3112[[#This Row],[Course Offerings Todate]]*Table3112[[#This Row],[Quotas Per Convening]]</f>
        <v>0</v>
      </c>
      <c r="J23" s="36">
        <f>SUM(Table3112[[#This Row],[Total Grads]]+Table3112[[#This Row],[Fails]]+Table3112[[#This Row],[No Shows]])</f>
        <v>0</v>
      </c>
      <c r="K23" s="36">
        <f>SUMIF(Table2[Course Title],Table3112[[#This Row],[Courses - Planned vs Need (Active Courses)]],Table2[Graduates])</f>
        <v>0</v>
      </c>
      <c r="L23" s="36">
        <f>SUMIF(Table2[Course Title],Table3112[[#This Row],[Courses - Planned vs Need (Active Courses)]],Table2[Fail])</f>
        <v>0</v>
      </c>
      <c r="M23" s="36">
        <f>SUMIF(Table2[Course Title],Table3112[[#This Row],[Courses - Planned vs Need (Active Courses)]],Table2[No Shows])</f>
        <v>0</v>
      </c>
      <c r="N23" s="36">
        <f>SUMIF(Table2[Course Title],Table3112[[#This Row],[Courses - Planned vs Need (Active Courses)]],Table2[Walk-ins])</f>
        <v>0</v>
      </c>
    </row>
    <row r="24" spans="2:14" ht="15.75" x14ac:dyDescent="0.25">
      <c r="B24" s="78" t="s">
        <v>43</v>
      </c>
      <c r="C24" s="36"/>
      <c r="D24" s="36" t="s">
        <v>30</v>
      </c>
      <c r="E24" s="36">
        <f>COUNTIFS(Table2[Course Title],Table3112[[#This Row],[Courses - Planned vs Need (Active Courses)]],Table2[Open Quotas],"0")</f>
        <v>0</v>
      </c>
      <c r="F24" s="66">
        <f>COUNTIFS(Table2[Course Title],Table3112[[#This Row],[Courses - Planned vs Need (Active Courses)]],Table2[Location],"Global Online",Table2[Open Quotas],"0")</f>
        <v>0</v>
      </c>
      <c r="G24" s="36">
        <f>Table3112[[#This Row],[Course Offerings Todate]]-Table3112[[#This Row],[Online]]</f>
        <v>0</v>
      </c>
      <c r="H24" s="34">
        <v>25</v>
      </c>
      <c r="I24" s="36">
        <f>Table3112[[#This Row],[Course Offerings Todate]]*Table3112[[#This Row],[Quotas Per Convening]]</f>
        <v>0</v>
      </c>
      <c r="J24" s="36">
        <f>SUM(Table3112[[#This Row],[Total Grads]]+Table3112[[#This Row],[Fails]]+Table3112[[#This Row],[No Shows]])</f>
        <v>0</v>
      </c>
      <c r="K24" s="36">
        <f>SUMIF(Table2[Course Title],Table3112[[#This Row],[Courses - Planned vs Need (Active Courses)]],Table2[Graduates])</f>
        <v>0</v>
      </c>
      <c r="L24" s="36">
        <f>SUMIF(Table2[Course Title],Table3112[[#This Row],[Courses - Planned vs Need (Active Courses)]],Table2[Fail])</f>
        <v>0</v>
      </c>
      <c r="M24" s="36">
        <f>SUMIF(Table2[Course Title],Table3112[[#This Row],[Courses - Planned vs Need (Active Courses)]],Table2[No Shows])</f>
        <v>0</v>
      </c>
      <c r="N24" s="36">
        <f>SUMIF(Table2[Course Title],Table3112[[#This Row],[Courses - Planned vs Need (Active Courses)]],Table2[Walk-ins])</f>
        <v>0</v>
      </c>
    </row>
    <row r="25" spans="2:14" ht="15.75" x14ac:dyDescent="0.25">
      <c r="B25" s="78" t="s">
        <v>44</v>
      </c>
      <c r="C25" s="36"/>
      <c r="D25" s="36" t="s">
        <v>30</v>
      </c>
      <c r="E25" s="36">
        <f>COUNTIFS(Table2[Course Title],Table3112[[#This Row],[Courses - Planned vs Need (Active Courses)]],Table2[Open Quotas],"0")</f>
        <v>0</v>
      </c>
      <c r="F25" s="66">
        <f>COUNTIFS(Table2[Course Title],Table3112[[#This Row],[Courses - Planned vs Need (Active Courses)]],Table2[Location],"Global Online",Table2[Open Quotas],"0")</f>
        <v>0</v>
      </c>
      <c r="G25" s="36">
        <f>Table3112[[#This Row],[Course Offerings Todate]]-Table3112[[#This Row],[Online]]</f>
        <v>0</v>
      </c>
      <c r="H25" s="34">
        <v>30</v>
      </c>
      <c r="I25" s="36">
        <f>Table3112[[#This Row],[Course Offerings Todate]]*Table3112[[#This Row],[Quotas Per Convening]]</f>
        <v>0</v>
      </c>
      <c r="J25" s="36">
        <f>SUM(Table3112[[#This Row],[Total Grads]]+Table3112[[#This Row],[Fails]]+Table3112[[#This Row],[No Shows]])</f>
        <v>0</v>
      </c>
      <c r="K25" s="36">
        <f>SUMIF(Table2[Course Title],Table3112[[#This Row],[Courses - Planned vs Need (Active Courses)]],Table2[Graduates])</f>
        <v>0</v>
      </c>
      <c r="L25" s="36">
        <f>SUMIF(Table2[Course Title],Table3112[[#This Row],[Courses - Planned vs Need (Active Courses)]],Table2[Fail])</f>
        <v>0</v>
      </c>
      <c r="M25" s="36">
        <f>SUMIF(Table2[Course Title],Table3112[[#This Row],[Courses - Planned vs Need (Active Courses)]],Table2[No Shows])</f>
        <v>0</v>
      </c>
      <c r="N25" s="36">
        <f>SUMIF(Table2[Course Title],Table3112[[#This Row],[Courses - Planned vs Need (Active Courses)]],Table2[Walk-ins])</f>
        <v>0</v>
      </c>
    </row>
    <row r="26" spans="2:14" ht="15.75" x14ac:dyDescent="0.25">
      <c r="B26" s="78" t="s">
        <v>45</v>
      </c>
      <c r="C26" s="36"/>
      <c r="D26" s="36" t="s">
        <v>30</v>
      </c>
      <c r="E26" s="36">
        <f>COUNTIFS(Table2[Course Title],Table3112[[#This Row],[Courses - Planned vs Need (Active Courses)]],Table2[Open Quotas],"0")</f>
        <v>0</v>
      </c>
      <c r="F26" s="66">
        <f>COUNTIFS(Table2[Course Title],Table3112[[#This Row],[Courses - Planned vs Need (Active Courses)]],Table2[Location],"Global Online",Table2[Open Quotas],"0")</f>
        <v>0</v>
      </c>
      <c r="G26" s="36">
        <f>Table3112[[#This Row],[Course Offerings Todate]]-Table3112[[#This Row],[Online]]</f>
        <v>0</v>
      </c>
      <c r="H26" s="34">
        <v>25</v>
      </c>
      <c r="I26" s="36">
        <f>Table3112[[#This Row],[Course Offerings Todate]]*Table3112[[#This Row],[Quotas Per Convening]]</f>
        <v>0</v>
      </c>
      <c r="J26" s="36">
        <f>SUM(Table3112[[#This Row],[Total Grads]]+Table3112[[#This Row],[Fails]]+Table3112[[#This Row],[No Shows]])</f>
        <v>0</v>
      </c>
      <c r="K26" s="36">
        <f>SUMIF(Table2[Course Title],Table3112[[#This Row],[Courses - Planned vs Need (Active Courses)]],Table2[Graduates])</f>
        <v>0</v>
      </c>
      <c r="L26" s="36">
        <f>SUMIF(Table2[Course Title],Table3112[[#This Row],[Courses - Planned vs Need (Active Courses)]],Table2[Fail])</f>
        <v>0</v>
      </c>
      <c r="M26" s="36">
        <f>SUMIF(Table2[Course Title],Table3112[[#This Row],[Courses - Planned vs Need (Active Courses)]],Table2[No Shows])</f>
        <v>0</v>
      </c>
      <c r="N26" s="36">
        <f>SUMIF(Table2[Course Title],Table3112[[#This Row],[Courses - Planned vs Need (Active Courses)]],Table2[Walk-ins])</f>
        <v>0</v>
      </c>
    </row>
    <row r="27" spans="2:14" ht="15.75" x14ac:dyDescent="0.25">
      <c r="B27" s="78" t="s">
        <v>46</v>
      </c>
      <c r="C27" s="36"/>
      <c r="D27" s="36" t="s">
        <v>30</v>
      </c>
      <c r="E27" s="36">
        <f>COUNTIFS(Table2[Course Title],Table3112[[#This Row],[Courses - Planned vs Need (Active Courses)]],Table2[Open Quotas],"0")</f>
        <v>0</v>
      </c>
      <c r="F27" s="66">
        <f>COUNTIFS(Table2[Course Title],Table3112[[#This Row],[Courses - Planned vs Need (Active Courses)]],Table2[Location],"Global Online",Table2[Open Quotas],"0")</f>
        <v>0</v>
      </c>
      <c r="G27" s="36">
        <f>Table3112[[#This Row],[Course Offerings Todate]]-Table3112[[#This Row],[Online]]</f>
        <v>0</v>
      </c>
      <c r="H27" s="34">
        <v>30</v>
      </c>
      <c r="I27" s="36">
        <f>Table3112[[#This Row],[Course Offerings Todate]]*Table3112[[#This Row],[Quotas Per Convening]]</f>
        <v>0</v>
      </c>
      <c r="J27" s="36">
        <f>SUM(Table3112[[#This Row],[Total Grads]]+Table3112[[#This Row],[Fails]]+Table3112[[#This Row],[No Shows]])</f>
        <v>0</v>
      </c>
      <c r="K27" s="36">
        <f>SUMIF(Table2[Course Title],Table3112[[#This Row],[Courses - Planned vs Need (Active Courses)]],Table2[Graduates])</f>
        <v>0</v>
      </c>
      <c r="L27" s="36">
        <f>SUMIF(Table2[Course Title],Table3112[[#This Row],[Courses - Planned vs Need (Active Courses)]],Table2[Fail])</f>
        <v>0</v>
      </c>
      <c r="M27" s="36">
        <f>SUMIF(Table2[Course Title],Table3112[[#This Row],[Courses - Planned vs Need (Active Courses)]],Table2[No Shows])</f>
        <v>0</v>
      </c>
      <c r="N27" s="36">
        <f>SUMIF(Table2[Course Title],Table3112[[#This Row],[Courses - Planned vs Need (Active Courses)]],Table2[Walk-ins])</f>
        <v>0</v>
      </c>
    </row>
    <row r="28" spans="2:14" ht="15.75" x14ac:dyDescent="0.25">
      <c r="B28" s="79" t="s">
        <v>47</v>
      </c>
      <c r="C28" s="36" t="s">
        <v>18</v>
      </c>
      <c r="D28" s="36" t="s">
        <v>30</v>
      </c>
      <c r="E28" s="36">
        <f>COUNTIFS(Table2[Course Title],Table3112[[#This Row],[Courses - Planned vs Need (Active Courses)]],Table2[Open Quotas],"0")</f>
        <v>0</v>
      </c>
      <c r="F28" s="66">
        <f>COUNTIFS(Table2[Course Title],Table3112[[#This Row],[Courses - Planned vs Need (Active Courses)]],Table2[Location],"Global Online",Table2[Open Quotas],"0")</f>
        <v>0</v>
      </c>
      <c r="G28" s="36">
        <f>Table3112[[#This Row],[Course Offerings Todate]]-Table3112[[#This Row],[Online]]</f>
        <v>0</v>
      </c>
      <c r="H28" s="34">
        <v>25</v>
      </c>
      <c r="I28" s="36">
        <f>Table3112[[#This Row],[Course Offerings Todate]]*Table3112[[#This Row],[Quotas Per Convening]]</f>
        <v>0</v>
      </c>
      <c r="J28" s="36">
        <f>SUM(Table3112[[#This Row],[Total Grads]]+Table3112[[#This Row],[Fails]]+Table3112[[#This Row],[No Shows]])</f>
        <v>0</v>
      </c>
      <c r="K28" s="36">
        <f>SUMIF(Table2[Course Title],Table3112[[#This Row],[Courses - Planned vs Need (Active Courses)]],Table2[Graduates])</f>
        <v>0</v>
      </c>
      <c r="L28" s="36">
        <f>SUMIF(Table2[Course Title],Table3112[[#This Row],[Courses - Planned vs Need (Active Courses)]],Table2[Fail])</f>
        <v>0</v>
      </c>
      <c r="M28" s="36">
        <f>SUMIF(Table2[Course Title],Table3112[[#This Row],[Courses - Planned vs Need (Active Courses)]],Table2[No Shows])</f>
        <v>0</v>
      </c>
      <c r="N28" s="36">
        <f>SUMIF(Table2[Course Title],Table3112[[#This Row],[Courses - Planned vs Need (Active Courses)]],Table2[Walk-ins])</f>
        <v>0</v>
      </c>
    </row>
    <row r="29" spans="2:14" ht="15.75" x14ac:dyDescent="0.25">
      <c r="B29" s="78" t="s">
        <v>48</v>
      </c>
      <c r="C29" s="36"/>
      <c r="D29" s="36" t="s">
        <v>30</v>
      </c>
      <c r="E29" s="36">
        <f>COUNTIFS(Table2[Course Title],Table3112[[#This Row],[Courses - Planned vs Need (Active Courses)]],Table2[Open Quotas],"0")</f>
        <v>0</v>
      </c>
      <c r="F29" s="66">
        <f>COUNTIFS(Table2[Course Title],Table3112[[#This Row],[Courses - Planned vs Need (Active Courses)]],Table2[Location],"Global Online",Table2[Open Quotas],"0")</f>
        <v>0</v>
      </c>
      <c r="G29" s="36">
        <f>Table3112[[#This Row],[Course Offerings Todate]]-Table3112[[#This Row],[Online]]</f>
        <v>0</v>
      </c>
      <c r="H29" s="34">
        <v>25</v>
      </c>
      <c r="I29" s="36">
        <f>Table3112[[#This Row],[Course Offerings Todate]]*Table3112[[#This Row],[Quotas Per Convening]]</f>
        <v>0</v>
      </c>
      <c r="J29" s="36">
        <f>SUM(Table3112[[#This Row],[Total Grads]]+Table3112[[#This Row],[Fails]]+Table3112[[#This Row],[No Shows]])</f>
        <v>0</v>
      </c>
      <c r="K29" s="36">
        <f>SUMIF(Table2[Course Title],Table3112[[#This Row],[Courses - Planned vs Need (Active Courses)]],Table2[Graduates])</f>
        <v>0</v>
      </c>
      <c r="L29" s="36">
        <f>SUMIF(Table2[Course Title],Table3112[[#This Row],[Courses - Planned vs Need (Active Courses)]],Table2[Fail])</f>
        <v>0</v>
      </c>
      <c r="M29" s="36">
        <f>SUMIF(Table2[Course Title],Table3112[[#This Row],[Courses - Planned vs Need (Active Courses)]],Table2[No Shows])</f>
        <v>0</v>
      </c>
      <c r="N29" s="36">
        <f>SUMIF(Table2[Course Title],Table3112[[#This Row],[Courses - Planned vs Need (Active Courses)]],Table2[Walk-ins])</f>
        <v>0</v>
      </c>
    </row>
    <row r="30" spans="2:14" ht="15.75" x14ac:dyDescent="0.25">
      <c r="B30" s="78" t="s">
        <v>49</v>
      </c>
      <c r="C30" s="36"/>
      <c r="D30" s="36" t="s">
        <v>30</v>
      </c>
      <c r="E30" s="36">
        <f>COUNTIFS(Table2[Course Title],Table3112[[#This Row],[Courses - Planned vs Need (Active Courses)]],Table2[Open Quotas],"0")</f>
        <v>0</v>
      </c>
      <c r="F30" s="66">
        <f>COUNTIFS(Table2[Course Title],Table3112[[#This Row],[Courses - Planned vs Need (Active Courses)]],Table2[Location],"Global Online",Table2[Open Quotas],"0")</f>
        <v>0</v>
      </c>
      <c r="G30" s="36">
        <f>Table3112[[#This Row],[Course Offerings Todate]]-Table3112[[#This Row],[Online]]</f>
        <v>0</v>
      </c>
      <c r="H30" s="34">
        <v>25</v>
      </c>
      <c r="I30" s="36">
        <f>Table3112[[#This Row],[Course Offerings Todate]]*Table3112[[#This Row],[Quotas Per Convening]]</f>
        <v>0</v>
      </c>
      <c r="J30" s="36">
        <f>SUM(Table3112[[#This Row],[Total Grads]]+Table3112[[#This Row],[Fails]]+Table3112[[#This Row],[No Shows]])</f>
        <v>0</v>
      </c>
      <c r="K30" s="36">
        <f>SUMIF(Table2[Course Title],Table3112[[#This Row],[Courses - Planned vs Need (Active Courses)]],Table2[Graduates])</f>
        <v>0</v>
      </c>
      <c r="L30" s="36">
        <f>SUMIF(Table2[Course Title],Table3112[[#This Row],[Courses - Planned vs Need (Active Courses)]],Table2[Fail])</f>
        <v>0</v>
      </c>
      <c r="M30" s="36">
        <f>SUMIF(Table2[Course Title],Table3112[[#This Row],[Courses - Planned vs Need (Active Courses)]],Table2[No Shows])</f>
        <v>0</v>
      </c>
      <c r="N30" s="36">
        <f>SUMIF(Table2[Course Title],Table3112[[#This Row],[Courses - Planned vs Need (Active Courses)]],Table2[Walk-ins])</f>
        <v>0</v>
      </c>
    </row>
    <row r="31" spans="2:14" ht="15.75" x14ac:dyDescent="0.25">
      <c r="B31" s="78" t="s">
        <v>50</v>
      </c>
      <c r="C31" s="36"/>
      <c r="D31" s="36" t="s">
        <v>30</v>
      </c>
      <c r="E31" s="36">
        <f>COUNTIFS(Table2[Course Title],Table3112[[#This Row],[Courses - Planned vs Need (Active Courses)]],Table2[Open Quotas],"0")</f>
        <v>0</v>
      </c>
      <c r="F31" s="66">
        <f>COUNTIFS(Table2[Course Title],Table3112[[#This Row],[Courses - Planned vs Need (Active Courses)]],Table2[Location],"Global Online",Table2[Open Quotas],"0")</f>
        <v>0</v>
      </c>
      <c r="G31" s="36">
        <f>Table3112[[#This Row],[Course Offerings Todate]]-Table3112[[#This Row],[Online]]</f>
        <v>0</v>
      </c>
      <c r="H31" s="34">
        <v>40</v>
      </c>
      <c r="I31" s="36">
        <f>Table3112[[#This Row],[Course Offerings Todate]]*Table3112[[#This Row],[Quotas Per Convening]]</f>
        <v>0</v>
      </c>
      <c r="J31" s="36">
        <f>SUM(Table3112[[#This Row],[Total Grads]]+Table3112[[#This Row],[Fails]]+Table3112[[#This Row],[No Shows]])</f>
        <v>0</v>
      </c>
      <c r="K31" s="36">
        <f>SUMIF(Table2[Course Title],Table3112[[#This Row],[Courses - Planned vs Need (Active Courses)]],Table2[Graduates])</f>
        <v>0</v>
      </c>
      <c r="L31" s="36">
        <f>SUMIF(Table2[Course Title],Table3112[[#This Row],[Courses - Planned vs Need (Active Courses)]],Table2[Fail])</f>
        <v>0</v>
      </c>
      <c r="M31" s="36">
        <f>SUMIF(Table2[Course Title],Table3112[[#This Row],[Courses - Planned vs Need (Active Courses)]],Table2[No Shows])</f>
        <v>0</v>
      </c>
      <c r="N31" s="36">
        <f>SUMIF(Table2[Course Title],Table3112[[#This Row],[Courses - Planned vs Need (Active Courses)]],Table2[Walk-ins])</f>
        <v>0</v>
      </c>
    </row>
    <row r="32" spans="2:14" ht="15.75" x14ac:dyDescent="0.25">
      <c r="B32" s="78" t="s">
        <v>51</v>
      </c>
      <c r="C32" s="36"/>
      <c r="D32" s="36" t="s">
        <v>30</v>
      </c>
      <c r="E32" s="36">
        <f>COUNTIFS(Table2[Course Title],Table3112[[#This Row],[Courses - Planned vs Need (Active Courses)]],Table2[Open Quotas],"0")</f>
        <v>0</v>
      </c>
      <c r="F32" s="66">
        <f>COUNTIFS(Table2[Course Title],Table3112[[#This Row],[Courses - Planned vs Need (Active Courses)]],Table2[Location],"Global Online",Table2[Open Quotas],"0")</f>
        <v>0</v>
      </c>
      <c r="G32" s="36">
        <f>Table3112[[#This Row],[Course Offerings Todate]]-Table3112[[#This Row],[Online]]</f>
        <v>0</v>
      </c>
      <c r="H32" s="34">
        <v>30</v>
      </c>
      <c r="I32" s="36">
        <f>Table3112[[#This Row],[Course Offerings Todate]]*Table3112[[#This Row],[Quotas Per Convening]]</f>
        <v>0</v>
      </c>
      <c r="J32" s="36">
        <f>SUM(Table3112[[#This Row],[Total Grads]]+Table3112[[#This Row],[Fails]]+Table3112[[#This Row],[No Shows]])</f>
        <v>0</v>
      </c>
      <c r="K32" s="36">
        <f>SUMIF(Table2[Course Title],Table3112[[#This Row],[Courses - Planned vs Need (Active Courses)]],Table2[Graduates])</f>
        <v>0</v>
      </c>
      <c r="L32" s="36">
        <f>SUMIF(Table2[Course Title],Table3112[[#This Row],[Courses - Planned vs Need (Active Courses)]],Table2[Fail])</f>
        <v>0</v>
      </c>
      <c r="M32" s="36">
        <f>SUMIF(Table2[Course Title],Table3112[[#This Row],[Courses - Planned vs Need (Active Courses)]],Table2[No Shows])</f>
        <v>0</v>
      </c>
      <c r="N32" s="36">
        <f>SUMIF(Table2[Course Title],Table3112[[#This Row],[Courses - Planned vs Need (Active Courses)]],Table2[Walk-ins])</f>
        <v>0</v>
      </c>
    </row>
    <row r="33" spans="2:14" ht="15.75" x14ac:dyDescent="0.25">
      <c r="B33" s="78" t="s">
        <v>52</v>
      </c>
      <c r="C33" s="36"/>
      <c r="D33" s="36" t="s">
        <v>30</v>
      </c>
      <c r="E33" s="36">
        <f>COUNTIFS(Table2[Course Title],Table3112[[#This Row],[Courses - Planned vs Need (Active Courses)]],Table2[Open Quotas],"0")</f>
        <v>0</v>
      </c>
      <c r="F33" s="66">
        <f>COUNTIFS(Table2[Course Title],Table3112[[#This Row],[Courses - Planned vs Need (Active Courses)]],Table2[Location],"Global Online",Table2[Open Quotas],"0")</f>
        <v>0</v>
      </c>
      <c r="G33" s="36">
        <f>Table3112[[#This Row],[Course Offerings Todate]]-Table3112[[#This Row],[Online]]</f>
        <v>0</v>
      </c>
      <c r="H33" s="34">
        <v>30</v>
      </c>
      <c r="I33" s="36">
        <f>Table3112[[#This Row],[Course Offerings Todate]]*Table3112[[#This Row],[Quotas Per Convening]]</f>
        <v>0</v>
      </c>
      <c r="J33" s="36">
        <f>SUM(Table3112[[#This Row],[Total Grads]]+Table3112[[#This Row],[Fails]]+Table3112[[#This Row],[No Shows]])</f>
        <v>0</v>
      </c>
      <c r="K33" s="36">
        <f>SUMIF(Table2[Course Title],Table3112[[#This Row],[Courses - Planned vs Need (Active Courses)]],Table2[Graduates])</f>
        <v>0</v>
      </c>
      <c r="L33" s="36">
        <f>SUMIF(Table2[Course Title],Table3112[[#This Row],[Courses - Planned vs Need (Active Courses)]],Table2[Fail])</f>
        <v>0</v>
      </c>
      <c r="M33" s="36">
        <f>SUMIF(Table2[Course Title],Table3112[[#This Row],[Courses - Planned vs Need (Active Courses)]],Table2[No Shows])</f>
        <v>0</v>
      </c>
      <c r="N33" s="36">
        <f>SUMIF(Table2[Course Title],Table3112[[#This Row],[Courses - Planned vs Need (Active Courses)]],Table2[Walk-ins])</f>
        <v>0</v>
      </c>
    </row>
    <row r="34" spans="2:14" ht="15.75" x14ac:dyDescent="0.25">
      <c r="B34" s="78" t="s">
        <v>53</v>
      </c>
      <c r="C34" s="36"/>
      <c r="D34" s="36" t="s">
        <v>30</v>
      </c>
      <c r="E34" s="36">
        <f>COUNTIFS(Table2[Course Title],Table3112[[#This Row],[Courses - Planned vs Need (Active Courses)]],Table2[Open Quotas],"0")</f>
        <v>0</v>
      </c>
      <c r="F34" s="66">
        <f>COUNTIFS(Table2[Course Title],Table3112[[#This Row],[Courses - Planned vs Need (Active Courses)]],Table2[Location],"Global Online",Table2[Open Quotas],"0")</f>
        <v>0</v>
      </c>
      <c r="G34" s="36">
        <f>Table3112[[#This Row],[Course Offerings Todate]]-Table3112[[#This Row],[Online]]</f>
        <v>0</v>
      </c>
      <c r="H34" s="34">
        <v>30</v>
      </c>
      <c r="I34" s="36">
        <f>Table3112[[#This Row],[Course Offerings Todate]]*Table3112[[#This Row],[Quotas Per Convening]]</f>
        <v>0</v>
      </c>
      <c r="J34" s="36">
        <f>SUM(Table3112[[#This Row],[Total Grads]]+Table3112[[#This Row],[Fails]]+Table3112[[#This Row],[No Shows]])</f>
        <v>0</v>
      </c>
      <c r="K34" s="36">
        <f>SUMIF(Table2[Course Title],Table3112[[#This Row],[Courses - Planned vs Need (Active Courses)]],Table2[Graduates])</f>
        <v>0</v>
      </c>
      <c r="L34" s="36">
        <f>SUMIF(Table2[Course Title],Table3112[[#This Row],[Courses - Planned vs Need (Active Courses)]],Table2[Fail])</f>
        <v>0</v>
      </c>
      <c r="M34" s="36">
        <f>SUMIF(Table2[Course Title],Table3112[[#This Row],[Courses - Planned vs Need (Active Courses)]],Table2[No Shows])</f>
        <v>0</v>
      </c>
      <c r="N34" s="36">
        <f>SUMIF(Table2[Course Title],Table3112[[#This Row],[Courses - Planned vs Need (Active Courses)]],Table2[Walk-ins])</f>
        <v>0</v>
      </c>
    </row>
    <row r="35" spans="2:14" ht="15.75" x14ac:dyDescent="0.25">
      <c r="B35" s="78" t="s">
        <v>54</v>
      </c>
      <c r="C35" s="36"/>
      <c r="D35" s="36" t="s">
        <v>30</v>
      </c>
      <c r="E35" s="36">
        <f>COUNTIFS(Table2[Course Title],Table3112[[#This Row],[Courses - Planned vs Need (Active Courses)]],Table2[Open Quotas],"0")</f>
        <v>0</v>
      </c>
      <c r="F35" s="66">
        <f>COUNTIFS(Table2[Course Title],Table3112[[#This Row],[Courses - Planned vs Need (Active Courses)]],Table2[Location],"Global Online",Table2[Open Quotas],"0")</f>
        <v>0</v>
      </c>
      <c r="G35" s="36">
        <f>Table3112[[#This Row],[Course Offerings Todate]]-Table3112[[#This Row],[Online]]</f>
        <v>0</v>
      </c>
      <c r="H35" s="34">
        <v>25</v>
      </c>
      <c r="I35" s="36">
        <f>Table3112[[#This Row],[Course Offerings Todate]]*Table3112[[#This Row],[Quotas Per Convening]]</f>
        <v>0</v>
      </c>
      <c r="J35" s="36">
        <f>SUM(Table3112[[#This Row],[Total Grads]]+Table3112[[#This Row],[Fails]]+Table3112[[#This Row],[No Shows]])</f>
        <v>0</v>
      </c>
      <c r="K35" s="36">
        <f>SUMIF(Table2[Course Title],Table3112[[#This Row],[Courses - Planned vs Need (Active Courses)]],Table2[Graduates])</f>
        <v>0</v>
      </c>
      <c r="L35" s="36">
        <f>SUMIF(Table2[Course Title],Table3112[[#This Row],[Courses - Planned vs Need (Active Courses)]],Table2[Fail])</f>
        <v>0</v>
      </c>
      <c r="M35" s="36">
        <f>SUMIF(Table2[Course Title],Table3112[[#This Row],[Courses - Planned vs Need (Active Courses)]],Table2[No Shows])</f>
        <v>0</v>
      </c>
      <c r="N35" s="36">
        <f>SUMIF(Table2[Course Title],Table3112[[#This Row],[Courses - Planned vs Need (Active Courses)]],Table2[Walk-ins])</f>
        <v>0</v>
      </c>
    </row>
    <row r="36" spans="2:14" ht="15.75" x14ac:dyDescent="0.25">
      <c r="B36" s="79" t="s">
        <v>55</v>
      </c>
      <c r="C36" s="36" t="s">
        <v>18</v>
      </c>
      <c r="D36" s="36" t="s">
        <v>30</v>
      </c>
      <c r="E36" s="36">
        <f>COUNTIFS(Table2[Course Title],Table3112[[#This Row],[Courses - Planned vs Need (Active Courses)]],Table2[Open Quotas],"0")</f>
        <v>0</v>
      </c>
      <c r="F36" s="66">
        <f>COUNTIFS(Table2[Course Title],Table3112[[#This Row],[Courses - Planned vs Need (Active Courses)]],Table2[Location],"Global Online",Table2[Open Quotas],"0")</f>
        <v>0</v>
      </c>
      <c r="G36" s="36">
        <f>Table3112[[#This Row],[Course Offerings Todate]]-Table3112[[#This Row],[Online]]</f>
        <v>0</v>
      </c>
      <c r="H36" s="34">
        <v>25</v>
      </c>
      <c r="I36" s="36">
        <f>Table3112[[#This Row],[Course Offerings Todate]]*Table3112[[#This Row],[Quotas Per Convening]]</f>
        <v>0</v>
      </c>
      <c r="J36" s="36">
        <f>SUM(Table3112[[#This Row],[Total Grads]]+Table3112[[#This Row],[Fails]]+Table3112[[#This Row],[No Shows]])</f>
        <v>0</v>
      </c>
      <c r="K36" s="36">
        <f>SUMIF(Table2[Course Title],Table3112[[#This Row],[Courses - Planned vs Need (Active Courses)]],Table2[Graduates])</f>
        <v>0</v>
      </c>
      <c r="L36" s="36">
        <f>SUMIF(Table2[Course Title],Table3112[[#This Row],[Courses - Planned vs Need (Active Courses)]],Table2[Fail])</f>
        <v>0</v>
      </c>
      <c r="M36" s="36">
        <f>SUMIF(Table2[Course Title],Table3112[[#This Row],[Courses - Planned vs Need (Active Courses)]],Table2[No Shows])</f>
        <v>0</v>
      </c>
      <c r="N36" s="36">
        <f>SUMIF(Table2[Course Title],Table3112[[#This Row],[Courses - Planned vs Need (Active Courses)]],Table2[Walk-ins])</f>
        <v>0</v>
      </c>
    </row>
    <row r="37" spans="2:14" ht="15.75" x14ac:dyDescent="0.25">
      <c r="B37" s="79" t="s">
        <v>56</v>
      </c>
      <c r="C37" s="36" t="s">
        <v>18</v>
      </c>
      <c r="D37" s="36" t="s">
        <v>30</v>
      </c>
      <c r="E37" s="36">
        <f>COUNTIFS(Table2[Course Title],Table3112[[#This Row],[Courses - Planned vs Need (Active Courses)]],Table2[Open Quotas],"0")</f>
        <v>0</v>
      </c>
      <c r="F37" s="66">
        <f>COUNTIFS(Table2[Course Title],Table3112[[#This Row],[Courses - Planned vs Need (Active Courses)]],Table2[Location],"Global Online",Table2[Open Quotas],"0")</f>
        <v>0</v>
      </c>
      <c r="G37" s="36">
        <f>Table3112[[#This Row],[Course Offerings Todate]]-Table3112[[#This Row],[Online]]</f>
        <v>0</v>
      </c>
      <c r="H37" s="34">
        <v>35</v>
      </c>
      <c r="I37" s="36">
        <f>Table3112[[#This Row],[Course Offerings Todate]]*Table3112[[#This Row],[Quotas Per Convening]]</f>
        <v>0</v>
      </c>
      <c r="J37" s="36">
        <f>SUM(Table3112[[#This Row],[Total Grads]]+Table3112[[#This Row],[Fails]]+Table3112[[#This Row],[No Shows]])</f>
        <v>0</v>
      </c>
      <c r="K37" s="36">
        <f>SUMIF(Table2[Course Title],Table3112[[#This Row],[Courses - Planned vs Need (Active Courses)]],Table2[Graduates])</f>
        <v>0</v>
      </c>
      <c r="L37" s="36">
        <f>SUMIF(Table2[Course Title],Table3112[[#This Row],[Courses - Planned vs Need (Active Courses)]],Table2[Fail])</f>
        <v>0</v>
      </c>
      <c r="M37" s="36">
        <f>SUMIF(Table2[Course Title],Table3112[[#This Row],[Courses - Planned vs Need (Active Courses)]],Table2[No Shows])</f>
        <v>0</v>
      </c>
      <c r="N37" s="36">
        <f>SUMIF(Table2[Course Title],Table3112[[#This Row],[Courses - Planned vs Need (Active Courses)]],Table2[Walk-ins])</f>
        <v>0</v>
      </c>
    </row>
    <row r="38" spans="2:14" ht="15.75" x14ac:dyDescent="0.25">
      <c r="B38" s="78" t="s">
        <v>57</v>
      </c>
      <c r="C38" s="36"/>
      <c r="D38" s="36" t="s">
        <v>30</v>
      </c>
      <c r="E38" s="36">
        <f>COUNTIFS(Table2[Course Title],Table3112[[#This Row],[Courses - Planned vs Need (Active Courses)]],Table2[Open Quotas],"0")</f>
        <v>0</v>
      </c>
      <c r="F38" s="66">
        <f>COUNTIFS(Table2[Course Title],Table3112[[#This Row],[Courses - Planned vs Need (Active Courses)]],Table2[Location],"Global Online",Table2[Open Quotas],"0")</f>
        <v>0</v>
      </c>
      <c r="G38" s="36">
        <f>Table3112[[#This Row],[Course Offerings Todate]]-Table3112[[#This Row],[Online]]</f>
        <v>0</v>
      </c>
      <c r="H38" s="34">
        <v>45</v>
      </c>
      <c r="I38" s="36">
        <f>Table3112[[#This Row],[Course Offerings Todate]]*Table3112[[#This Row],[Quotas Per Convening]]</f>
        <v>0</v>
      </c>
      <c r="J38" s="36">
        <f>SUM(Table3112[[#This Row],[Total Grads]]+Table3112[[#This Row],[Fails]]+Table3112[[#This Row],[No Shows]])</f>
        <v>0</v>
      </c>
      <c r="K38" s="36">
        <f>SUMIF(Table2[Course Title],Table3112[[#This Row],[Courses - Planned vs Need (Active Courses)]],Table2[Graduates])</f>
        <v>0</v>
      </c>
      <c r="L38" s="36">
        <f>SUMIF(Table2[Course Title],Table3112[[#This Row],[Courses - Planned vs Need (Active Courses)]],Table2[Fail])</f>
        <v>0</v>
      </c>
      <c r="M38" s="36">
        <f>SUMIF(Table2[Course Title],Table3112[[#This Row],[Courses - Planned vs Need (Active Courses)]],Table2[No Shows])</f>
        <v>0</v>
      </c>
      <c r="N38" s="36">
        <f>SUMIF(Table2[Course Title],Table3112[[#This Row],[Courses - Planned vs Need (Active Courses)]],Table2[Walk-ins])</f>
        <v>0</v>
      </c>
    </row>
    <row r="39" spans="2:14" ht="15.75" x14ac:dyDescent="0.25">
      <c r="B39" s="79" t="s">
        <v>58</v>
      </c>
      <c r="C39" s="36" t="s">
        <v>18</v>
      </c>
      <c r="D39" s="36" t="s">
        <v>30</v>
      </c>
      <c r="E39" s="36">
        <f>COUNTIFS(Table2[Course Title],Table3112[[#This Row],[Courses - Planned vs Need (Active Courses)]],Table2[Open Quotas],"0")</f>
        <v>0</v>
      </c>
      <c r="F39" s="66">
        <f>COUNTIFS(Table2[Course Title],Table3112[[#This Row],[Courses - Planned vs Need (Active Courses)]],Table2[Location],"Global Online",Table2[Open Quotas],"0")</f>
        <v>0</v>
      </c>
      <c r="G39" s="36">
        <f>Table3112[[#This Row],[Course Offerings Todate]]-Table3112[[#This Row],[Online]]</f>
        <v>0</v>
      </c>
      <c r="H39" s="34">
        <v>30</v>
      </c>
      <c r="I39" s="36">
        <f>Table3112[[#This Row],[Course Offerings Todate]]*Table3112[[#This Row],[Quotas Per Convening]]</f>
        <v>0</v>
      </c>
      <c r="J39" s="36">
        <f>SUM(Table3112[[#This Row],[Total Grads]]+Table3112[[#This Row],[Fails]]+Table3112[[#This Row],[No Shows]])</f>
        <v>0</v>
      </c>
      <c r="K39" s="36">
        <f>SUMIF(Table2[Course Title],Table3112[[#This Row],[Courses - Planned vs Need (Active Courses)]],Table2[Graduates])</f>
        <v>0</v>
      </c>
      <c r="L39" s="36">
        <f>SUMIF(Table2[Course Title],Table3112[[#This Row],[Courses - Planned vs Need (Active Courses)]],Table2[Fail])</f>
        <v>0</v>
      </c>
      <c r="M39" s="36">
        <f>SUMIF(Table2[Course Title],Table3112[[#This Row],[Courses - Planned vs Need (Active Courses)]],Table2[No Shows])</f>
        <v>0</v>
      </c>
      <c r="N39" s="36">
        <f>SUMIF(Table2[Course Title],Table3112[[#This Row],[Courses - Planned vs Need (Active Courses)]],Table2[Walk-ins])</f>
        <v>0</v>
      </c>
    </row>
    <row r="40" spans="2:14" ht="15.75" x14ac:dyDescent="0.25">
      <c r="B40" s="78" t="s">
        <v>38</v>
      </c>
      <c r="C40" s="36"/>
      <c r="D40" s="36" t="s">
        <v>30</v>
      </c>
      <c r="E40" s="36">
        <f>COUNTIFS(Table2[Course Title],Table3112[[#This Row],[Courses - Planned vs Need (Active Courses)]],Table2[Open Quotas],"0")</f>
        <v>0</v>
      </c>
      <c r="F40" s="66">
        <f>COUNTIFS(Table2[Course Title],Table3112[[#This Row],[Courses - Planned vs Need (Active Courses)]],Table2[Location],"Global Online",Table2[Open Quotas],"0")</f>
        <v>0</v>
      </c>
      <c r="G40" s="36">
        <f>Table3112[[#This Row],[Course Offerings Todate]]-Table3112[[#This Row],[Online]]</f>
        <v>0</v>
      </c>
      <c r="H40" s="34">
        <v>45</v>
      </c>
      <c r="I40" s="36">
        <f>Table3112[[#This Row],[Course Offerings Todate]]*Table3112[[#This Row],[Quotas Per Convening]]</f>
        <v>0</v>
      </c>
      <c r="J40" s="36">
        <f>SUM(Table3112[[#This Row],[Total Grads]]+Table3112[[#This Row],[Fails]]+Table3112[[#This Row],[No Shows]])</f>
        <v>0</v>
      </c>
      <c r="K40" s="36">
        <f>SUMIF(Table2[Course Title],Table3112[[#This Row],[Courses - Planned vs Need (Active Courses)]],Table2[Graduates])</f>
        <v>0</v>
      </c>
      <c r="L40" s="36">
        <f>SUMIF(Table2[Course Title],Table3112[[#This Row],[Courses - Planned vs Need (Active Courses)]],Table2[Fail])</f>
        <v>0</v>
      </c>
      <c r="M40" s="36">
        <f>SUMIF(Table2[Course Title],Table3112[[#This Row],[Courses - Planned vs Need (Active Courses)]],Table2[No Shows])</f>
        <v>0</v>
      </c>
      <c r="N40" s="36">
        <f>SUMIF(Table2[Course Title],Table3112[[#This Row],[Courses - Planned vs Need (Active Courses)]],Table2[Walk-ins])</f>
        <v>0</v>
      </c>
    </row>
    <row r="41" spans="2:14" ht="15.75" x14ac:dyDescent="0.25">
      <c r="B41" s="78" t="s">
        <v>59</v>
      </c>
      <c r="C41" s="36"/>
      <c r="D41" s="36" t="s">
        <v>30</v>
      </c>
      <c r="E41" s="36">
        <f>COUNTIFS(Table2[Course Title],Table3112[[#This Row],[Courses - Planned vs Need (Active Courses)]],Table2[Open Quotas],"0")</f>
        <v>0</v>
      </c>
      <c r="F41" s="66">
        <f>COUNTIFS(Table2[Course Title],Table3112[[#This Row],[Courses - Planned vs Need (Active Courses)]],Table2[Location],"Global Online",Table2[Open Quotas],"0")</f>
        <v>0</v>
      </c>
      <c r="G41" s="36">
        <f>Table3112[[#This Row],[Course Offerings Todate]]-Table3112[[#This Row],[Online]]</f>
        <v>0</v>
      </c>
      <c r="H41" s="34">
        <v>45</v>
      </c>
      <c r="I41" s="36">
        <f>Table3112[[#This Row],[Course Offerings Todate]]*Table3112[[#This Row],[Quotas Per Convening]]</f>
        <v>0</v>
      </c>
      <c r="J41" s="36">
        <f>SUM(Table3112[[#This Row],[Total Grads]]+Table3112[[#This Row],[Fails]]+Table3112[[#This Row],[No Shows]])</f>
        <v>0</v>
      </c>
      <c r="K41" s="36">
        <f>SUMIF(Table2[Course Title],Table3112[[#This Row],[Courses - Planned vs Need (Active Courses)]],Table2[Graduates])</f>
        <v>0</v>
      </c>
      <c r="L41" s="36">
        <f>SUMIF(Table2[Course Title],Table3112[[#This Row],[Courses - Planned vs Need (Active Courses)]],Table2[Fail])</f>
        <v>0</v>
      </c>
      <c r="M41" s="36">
        <f>SUMIF(Table2[Course Title],Table3112[[#This Row],[Courses - Planned vs Need (Active Courses)]],Table2[No Shows])</f>
        <v>0</v>
      </c>
      <c r="N41" s="36">
        <f>SUMIF(Table2[Course Title],Table3112[[#This Row],[Courses - Planned vs Need (Active Courses)]],Table2[Walk-ins])</f>
        <v>0</v>
      </c>
    </row>
    <row r="42" spans="2:14" ht="15.75" x14ac:dyDescent="0.25">
      <c r="B42" s="79" t="s">
        <v>60</v>
      </c>
      <c r="C42" s="36" t="s">
        <v>18</v>
      </c>
      <c r="D42" s="36" t="s">
        <v>30</v>
      </c>
      <c r="E42" s="36">
        <f>COUNTIFS(Table2[Course Title],Table3112[[#This Row],[Courses - Planned vs Need (Active Courses)]],Table2[Open Quotas],"0")</f>
        <v>0</v>
      </c>
      <c r="F42" s="66">
        <f>COUNTIFS(Table2[Course Title],Table3112[[#This Row],[Courses - Planned vs Need (Active Courses)]],Table2[Location],"Global Online",Table2[Open Quotas],"0")</f>
        <v>0</v>
      </c>
      <c r="G42" s="36">
        <f>Table3112[[#This Row],[Course Offerings Todate]]-Table3112[[#This Row],[Online]]</f>
        <v>0</v>
      </c>
      <c r="H42" s="34">
        <v>30</v>
      </c>
      <c r="I42" s="36">
        <f>Table3112[[#This Row],[Course Offerings Todate]]*Table3112[[#This Row],[Quotas Per Convening]]</f>
        <v>0</v>
      </c>
      <c r="J42" s="36">
        <f>SUM(Table3112[[#This Row],[Total Grads]]+Table3112[[#This Row],[Fails]]+Table3112[[#This Row],[No Shows]])</f>
        <v>0</v>
      </c>
      <c r="K42" s="36">
        <f>SUMIF(Table2[Course Title],Table3112[[#This Row],[Courses - Planned vs Need (Active Courses)]],Table2[Graduates])</f>
        <v>0</v>
      </c>
      <c r="L42" s="36">
        <f>SUMIF(Table2[Course Title],Table3112[[#This Row],[Courses - Planned vs Need (Active Courses)]],Table2[Fail])</f>
        <v>0</v>
      </c>
      <c r="M42" s="36">
        <f>SUMIF(Table2[Course Title],Table3112[[#This Row],[Courses - Planned vs Need (Active Courses)]],Table2[No Shows])</f>
        <v>0</v>
      </c>
      <c r="N42" s="36">
        <f>SUMIF(Table2[Course Title],Table3112[[#This Row],[Courses - Planned vs Need (Active Courses)]],Table2[Walk-ins])</f>
        <v>0</v>
      </c>
    </row>
    <row r="43" spans="2:14" ht="15.75" x14ac:dyDescent="0.25">
      <c r="B43" s="78" t="s">
        <v>61</v>
      </c>
      <c r="C43" s="36"/>
      <c r="D43" s="36" t="s">
        <v>30</v>
      </c>
      <c r="E43" s="36">
        <f>COUNTIFS(Table2[Course Title],Table3112[[#This Row],[Courses - Planned vs Need (Active Courses)]],Table2[Open Quotas],"0")</f>
        <v>0</v>
      </c>
      <c r="F43" s="66">
        <f>COUNTIFS(Table2[Course Title],Table3112[[#This Row],[Courses - Planned vs Need (Active Courses)]],Table2[Location],"Global Online",Table2[Open Quotas],"0")</f>
        <v>0</v>
      </c>
      <c r="G43" s="36">
        <f>Table3112[[#This Row],[Course Offerings Todate]]-Table3112[[#This Row],[Online]]</f>
        <v>0</v>
      </c>
      <c r="H43" s="34">
        <v>45</v>
      </c>
      <c r="I43" s="36">
        <f>Table3112[[#This Row],[Course Offerings Todate]]*Table3112[[#This Row],[Quotas Per Convening]]</f>
        <v>0</v>
      </c>
      <c r="J43" s="36">
        <f>SUM(Table3112[[#This Row],[Total Grads]]+Table3112[[#This Row],[Fails]]+Table3112[[#This Row],[No Shows]])</f>
        <v>0</v>
      </c>
      <c r="K43" s="36">
        <f>SUMIF(Table2[Course Title],Table3112[[#This Row],[Courses - Planned vs Need (Active Courses)]],Table2[Graduates])</f>
        <v>0</v>
      </c>
      <c r="L43" s="36">
        <f>SUMIF(Table2[Course Title],Table3112[[#This Row],[Courses - Planned vs Need (Active Courses)]],Table2[Fail])</f>
        <v>0</v>
      </c>
      <c r="M43" s="36">
        <f>SUMIF(Table2[Course Title],Table3112[[#This Row],[Courses - Planned vs Need (Active Courses)]],Table2[No Shows])</f>
        <v>0</v>
      </c>
      <c r="N43" s="36">
        <f>SUMIF(Table2[Course Title],Table3112[[#This Row],[Courses - Planned vs Need (Active Courses)]],Table2[Walk-ins])</f>
        <v>0</v>
      </c>
    </row>
    <row r="44" spans="2:14" ht="15.75" x14ac:dyDescent="0.25">
      <c r="B44" s="81" t="s">
        <v>62</v>
      </c>
      <c r="C44" s="72"/>
      <c r="D44" s="72"/>
      <c r="E44" s="72">
        <f>SUM(Table3112[Course Offerings Todate])</f>
        <v>0</v>
      </c>
      <c r="F44" s="73">
        <f>SUM(Table3112[Online])</f>
        <v>0</v>
      </c>
      <c r="G44" s="73">
        <f>SUM(Table3112[Resident])</f>
        <v>0</v>
      </c>
      <c r="H44" s="73"/>
      <c r="I44" s="73"/>
      <c r="J44" s="73"/>
      <c r="K44" s="73">
        <f>SUM(Table3112[Total Grads])</f>
        <v>0</v>
      </c>
      <c r="L44" s="73">
        <f>SUBTOTAL(109,Table3112[Fails])</f>
        <v>0</v>
      </c>
      <c r="M44" s="73">
        <f>SUM(Table3112[No Shows])</f>
        <v>0</v>
      </c>
      <c r="N44" s="73">
        <f>SUM(Table3112[Walk-ins])</f>
        <v>0</v>
      </c>
    </row>
  </sheetData>
  <mergeCells count="2">
    <mergeCell ref="B4:G4"/>
    <mergeCell ref="K4:N4"/>
  </mergeCells>
  <conditionalFormatting sqref="C6:G6 I6:M6 C7:D15 G7:G15 I7:I15 E7:F43 J7:M43 C18:D43 G18:G43 I18:I43">
    <cfRule type="cellIs" dxfId="1573" priority="3" operator="lessThan">
      <formula>0</formula>
    </cfRule>
  </conditionalFormatting>
  <conditionalFormatting sqref="H6:H15">
    <cfRule type="cellIs" dxfId="1572" priority="2" operator="lessThan">
      <formula>0</formula>
    </cfRule>
  </conditionalFormatting>
  <conditionalFormatting sqref="H18:H43">
    <cfRule type="cellIs" dxfId="1571" priority="1" operator="lessThan">
      <formula>0</formula>
    </cfRule>
  </conditionalFormatting>
  <dataValidations count="1">
    <dataValidation type="list" allowBlank="1" showInputMessage="1" showErrorMessage="1" sqref="B6:B15 B18:B43" xr:uid="{00000000-0002-0000-0A00-000000000000}">
      <formula1>Class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3:F8"/>
  <sheetViews>
    <sheetView workbookViewId="0">
      <selection activeCell="B10" sqref="B10"/>
    </sheetView>
  </sheetViews>
  <sheetFormatPr defaultRowHeight="15" x14ac:dyDescent="0.25"/>
  <cols>
    <col min="1" max="1" width="14" bestFit="1" customWidth="1"/>
    <col min="2" max="2" width="16.85546875" bestFit="1" customWidth="1"/>
    <col min="3" max="3" width="10.7109375" bestFit="1" customWidth="1"/>
    <col min="4" max="4" width="16.42578125" bestFit="1" customWidth="1"/>
    <col min="5" max="7" width="18.140625" bestFit="1" customWidth="1"/>
    <col min="8" max="8" width="11.28515625" bestFit="1" customWidth="1"/>
  </cols>
  <sheetData>
    <row r="3" spans="1:6" x14ac:dyDescent="0.25">
      <c r="A3" t="s">
        <v>63</v>
      </c>
      <c r="B3" t="s">
        <v>64</v>
      </c>
      <c r="C3" t="s">
        <v>65</v>
      </c>
      <c r="D3" t="s">
        <v>66</v>
      </c>
    </row>
    <row r="4" spans="1:6" x14ac:dyDescent="0.25">
      <c r="A4">
        <v>12585</v>
      </c>
      <c r="B4" s="336">
        <v>0</v>
      </c>
      <c r="C4">
        <v>0</v>
      </c>
      <c r="D4">
        <v>0</v>
      </c>
    </row>
    <row r="5" spans="1:6" x14ac:dyDescent="0.25">
      <c r="B5" s="5" t="s">
        <v>67</v>
      </c>
    </row>
    <row r="7" spans="1:6" x14ac:dyDescent="0.25">
      <c r="D7" s="50" t="s">
        <v>68</v>
      </c>
      <c r="E7" s="50">
        <f>GETPIVOTDATA("Sum of Graduates",$A$3)+GETPIVOTDATA("Sum of Fail",$A$3)</f>
        <v>0</v>
      </c>
      <c r="F7" s="51">
        <f>E7/GETPIVOTDATA("Sum of Quotas",$A$3)</f>
        <v>0</v>
      </c>
    </row>
    <row r="8" spans="1:6" x14ac:dyDescent="0.25">
      <c r="D8" s="50" t="s">
        <v>69</v>
      </c>
      <c r="E8" s="50">
        <f>GETPIVOTDATA("Sum of Graduates",$A$3)+GETPIVOTDATA("Sum of Fail",$A$3)+GETPIVOTDATA("Sum of No Shows",$A$3)</f>
        <v>0</v>
      </c>
      <c r="F8" s="51">
        <f>E8/GETPIVOTDATA("Sum of Quotas",$A$3)</f>
        <v>0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97591-2F1C-4C8A-A240-F590D5790C51}">
  <sheetPr>
    <tabColor rgb="FFFFC000"/>
  </sheetPr>
  <dimension ref="B1:P40"/>
  <sheetViews>
    <sheetView topLeftCell="A3" workbookViewId="0">
      <selection activeCell="K3" sqref="K3"/>
    </sheetView>
  </sheetViews>
  <sheetFormatPr defaultColWidth="8.85546875" defaultRowHeight="15" x14ac:dyDescent="0.25"/>
  <cols>
    <col min="2" max="2" width="68.140625" style="4" bestFit="1" customWidth="1"/>
    <col min="3" max="3" width="5" bestFit="1" customWidth="1"/>
    <col min="4" max="4" width="11.7109375" style="4" bestFit="1" customWidth="1"/>
    <col min="5" max="5" width="10.5703125" bestFit="1" customWidth="1"/>
    <col min="6" max="6" width="6.7109375" customWidth="1"/>
    <col min="7" max="7" width="11.5703125" hidden="1" customWidth="1"/>
    <col min="8" max="8" width="11.28515625" hidden="1" customWidth="1"/>
    <col min="9" max="9" width="11.7109375" hidden="1" customWidth="1"/>
    <col min="10" max="10" width="11.85546875" hidden="1" customWidth="1"/>
    <col min="11" max="12" width="13.140625" customWidth="1"/>
    <col min="13" max="13" width="8.85546875" hidden="1" customWidth="1"/>
    <col min="14" max="14" width="17.85546875" hidden="1" customWidth="1"/>
    <col min="15" max="15" width="13.85546875" hidden="1" customWidth="1"/>
    <col min="16" max="16" width="13" hidden="1" customWidth="1"/>
  </cols>
  <sheetData>
    <row r="1" spans="2:16" x14ac:dyDescent="0.25">
      <c r="B1" s="4" t="s">
        <v>70</v>
      </c>
    </row>
    <row r="2" spans="2:16" s="13" customFormat="1" ht="45" x14ac:dyDescent="0.25">
      <c r="B2" s="173" t="s">
        <v>71</v>
      </c>
      <c r="C2" s="174" t="s">
        <v>4</v>
      </c>
      <c r="D2" s="174" t="s">
        <v>72</v>
      </c>
      <c r="E2" s="173" t="s">
        <v>73</v>
      </c>
      <c r="F2" s="173" t="s">
        <v>74</v>
      </c>
      <c r="G2" s="173" t="s">
        <v>75</v>
      </c>
      <c r="H2" s="173" t="s">
        <v>76</v>
      </c>
      <c r="I2" s="173" t="s">
        <v>77</v>
      </c>
      <c r="J2" s="175" t="s">
        <v>78</v>
      </c>
      <c r="K2" s="175" t="s">
        <v>79</v>
      </c>
      <c r="L2" s="175" t="s">
        <v>80</v>
      </c>
      <c r="M2" s="176" t="s">
        <v>81</v>
      </c>
      <c r="N2" s="176" t="s">
        <v>82</v>
      </c>
      <c r="O2" s="176" t="s">
        <v>83</v>
      </c>
      <c r="P2" s="176" t="s">
        <v>84</v>
      </c>
    </row>
    <row r="3" spans="2:16" x14ac:dyDescent="0.25">
      <c r="B3" s="192" t="s">
        <v>15</v>
      </c>
      <c r="C3" s="178" t="s">
        <v>85</v>
      </c>
      <c r="D3" s="195" t="s">
        <v>86</v>
      </c>
      <c r="E3" s="177" t="s">
        <v>87</v>
      </c>
      <c r="F3" s="177" t="s">
        <v>88</v>
      </c>
      <c r="G3" s="179">
        <v>337</v>
      </c>
      <c r="H3" s="180">
        <v>45</v>
      </c>
      <c r="I3" s="181">
        <v>7.4888888888888889</v>
      </c>
      <c r="J3" s="182">
        <v>8</v>
      </c>
      <c r="K3" s="183">
        <v>8</v>
      </c>
      <c r="L3" s="198">
        <f>COUNTIF('FY 2026 Schedule'!$B$3:$B$591,'Planning-Need vs Planned'!B3)</f>
        <v>10</v>
      </c>
      <c r="M3" s="183">
        <v>16</v>
      </c>
      <c r="N3" s="183">
        <v>128</v>
      </c>
      <c r="O3" s="179">
        <v>0</v>
      </c>
      <c r="P3" s="184">
        <v>1.0682492581602374</v>
      </c>
    </row>
    <row r="4" spans="2:16" x14ac:dyDescent="0.25">
      <c r="B4" s="192" t="s">
        <v>89</v>
      </c>
      <c r="C4" s="178" t="s">
        <v>90</v>
      </c>
      <c r="D4" s="196" t="s">
        <v>7</v>
      </c>
      <c r="E4" s="177" t="s">
        <v>91</v>
      </c>
      <c r="F4" s="177">
        <v>3878</v>
      </c>
      <c r="G4" s="179">
        <v>325</v>
      </c>
      <c r="H4" s="180">
        <v>25</v>
      </c>
      <c r="I4" s="181">
        <v>13</v>
      </c>
      <c r="J4" s="182">
        <v>13</v>
      </c>
      <c r="K4" s="183">
        <v>2</v>
      </c>
      <c r="L4" s="198">
        <f>COUNTIF('FY 2026 Schedule'!$B$3:$B$591,'Planning-Need vs Planned'!B4)</f>
        <v>2</v>
      </c>
      <c r="M4" s="183">
        <v>24</v>
      </c>
      <c r="N4" s="183">
        <v>48</v>
      </c>
      <c r="O4" s="179">
        <v>-11</v>
      </c>
      <c r="P4" s="184">
        <v>0.15384615384615385</v>
      </c>
    </row>
    <row r="5" spans="2:16" x14ac:dyDescent="0.25">
      <c r="B5" s="192" t="s">
        <v>42</v>
      </c>
      <c r="C5" s="178" t="s">
        <v>90</v>
      </c>
      <c r="D5" s="196" t="s">
        <v>7</v>
      </c>
      <c r="E5" s="177" t="s">
        <v>92</v>
      </c>
      <c r="F5" s="177">
        <v>3879</v>
      </c>
      <c r="G5" s="179">
        <v>341</v>
      </c>
      <c r="H5" s="180">
        <v>30</v>
      </c>
      <c r="I5" s="181">
        <v>11.366666666666667</v>
      </c>
      <c r="J5" s="182">
        <v>12</v>
      </c>
      <c r="K5" s="183">
        <v>4</v>
      </c>
      <c r="L5" s="198">
        <f>COUNTIF('FY 2026 Schedule'!$B$3:$B$591,'Planning-Need vs Planned'!B5)</f>
        <v>4</v>
      </c>
      <c r="M5" s="183">
        <v>4</v>
      </c>
      <c r="N5" s="183">
        <v>16</v>
      </c>
      <c r="O5" s="179">
        <v>-8</v>
      </c>
      <c r="P5" s="184">
        <v>0.35190615835777128</v>
      </c>
    </row>
    <row r="6" spans="2:16" x14ac:dyDescent="0.25">
      <c r="B6" s="192" t="s">
        <v>93</v>
      </c>
      <c r="C6" s="178" t="s">
        <v>90</v>
      </c>
      <c r="D6" s="196" t="s">
        <v>7</v>
      </c>
      <c r="E6" s="177" t="s">
        <v>94</v>
      </c>
      <c r="F6" s="177">
        <v>3882</v>
      </c>
      <c r="G6" s="179">
        <v>128</v>
      </c>
      <c r="H6" s="180">
        <v>25</v>
      </c>
      <c r="I6" s="181">
        <v>5.12</v>
      </c>
      <c r="J6" s="182">
        <v>6</v>
      </c>
      <c r="K6" s="183">
        <v>2</v>
      </c>
      <c r="L6" s="198">
        <f>COUNTIF('FY 2026 Schedule'!$B$3:$B$591,'Planning-Need vs Planned'!B6)</f>
        <v>2</v>
      </c>
      <c r="M6" s="183">
        <v>16</v>
      </c>
      <c r="N6" s="183">
        <v>32</v>
      </c>
      <c r="O6" s="179">
        <v>-4</v>
      </c>
      <c r="P6" s="184">
        <v>0.390625</v>
      </c>
    </row>
    <row r="7" spans="2:16" x14ac:dyDescent="0.25">
      <c r="B7" s="192" t="s">
        <v>44</v>
      </c>
      <c r="C7" s="178" t="s">
        <v>90</v>
      </c>
      <c r="D7" s="196" t="s">
        <v>7</v>
      </c>
      <c r="E7" s="177" t="s">
        <v>95</v>
      </c>
      <c r="F7" s="177">
        <v>3888</v>
      </c>
      <c r="G7" s="179">
        <v>171</v>
      </c>
      <c r="H7" s="180">
        <v>30</v>
      </c>
      <c r="I7" s="181">
        <v>5.7</v>
      </c>
      <c r="J7" s="182">
        <v>6</v>
      </c>
      <c r="K7" s="183">
        <v>4</v>
      </c>
      <c r="L7" s="198">
        <f>COUNTIF('FY 2026 Schedule'!$B$3:$B$591,'Planning-Need vs Planned'!B7)</f>
        <v>4</v>
      </c>
      <c r="M7" s="183">
        <v>4</v>
      </c>
      <c r="N7" s="183">
        <v>16</v>
      </c>
      <c r="O7" s="179">
        <v>-2</v>
      </c>
      <c r="P7" s="184">
        <v>0.70175438596491224</v>
      </c>
    </row>
    <row r="8" spans="2:16" x14ac:dyDescent="0.25">
      <c r="B8" s="192" t="s">
        <v>45</v>
      </c>
      <c r="C8" s="178" t="s">
        <v>90</v>
      </c>
      <c r="D8" s="196" t="s">
        <v>7</v>
      </c>
      <c r="E8" s="177" t="s">
        <v>96</v>
      </c>
      <c r="F8" s="177" t="s">
        <v>97</v>
      </c>
      <c r="G8" s="179">
        <v>197</v>
      </c>
      <c r="H8" s="180">
        <v>25</v>
      </c>
      <c r="I8" s="181">
        <v>7.88</v>
      </c>
      <c r="J8" s="182">
        <v>8</v>
      </c>
      <c r="K8" s="183">
        <v>2</v>
      </c>
      <c r="L8" s="198">
        <f>COUNTIF('FY 2026 Schedule'!$B$3:$B$591,'Planning-Need vs Planned'!B8)</f>
        <v>2</v>
      </c>
      <c r="M8" s="183">
        <v>40</v>
      </c>
      <c r="N8" s="183">
        <v>80</v>
      </c>
      <c r="O8" s="179">
        <v>-6</v>
      </c>
      <c r="P8" s="184">
        <v>0.25380710659898476</v>
      </c>
    </row>
    <row r="9" spans="2:16" x14ac:dyDescent="0.25">
      <c r="B9" s="192" t="s">
        <v>46</v>
      </c>
      <c r="C9" s="178" t="s">
        <v>90</v>
      </c>
      <c r="D9" s="196" t="s">
        <v>7</v>
      </c>
      <c r="E9" s="177" t="s">
        <v>98</v>
      </c>
      <c r="F9" s="177" t="s">
        <v>99</v>
      </c>
      <c r="G9" s="179">
        <v>258</v>
      </c>
      <c r="H9" s="180">
        <v>30</v>
      </c>
      <c r="I9" s="181">
        <v>8.6</v>
      </c>
      <c r="J9" s="182">
        <v>9</v>
      </c>
      <c r="K9" s="183">
        <v>4</v>
      </c>
      <c r="L9" s="198">
        <f>COUNTIF('FY 2026 Schedule'!$B$3:$B$591,'Planning-Need vs Planned'!B9)</f>
        <v>4</v>
      </c>
      <c r="M9" s="183">
        <v>8</v>
      </c>
      <c r="N9" s="183">
        <v>32</v>
      </c>
      <c r="O9" s="179">
        <v>-5</v>
      </c>
      <c r="P9" s="184">
        <v>0.46511627906976744</v>
      </c>
    </row>
    <row r="10" spans="2:16" x14ac:dyDescent="0.25">
      <c r="B10" s="192" t="s">
        <v>37</v>
      </c>
      <c r="C10" s="178" t="s">
        <v>100</v>
      </c>
      <c r="D10" s="195" t="s">
        <v>86</v>
      </c>
      <c r="E10" s="177" t="s">
        <v>101</v>
      </c>
      <c r="F10" s="177" t="s">
        <v>102</v>
      </c>
      <c r="G10" s="179">
        <v>464</v>
      </c>
      <c r="H10" s="180">
        <v>45</v>
      </c>
      <c r="I10" s="181">
        <v>10.311111111111112</v>
      </c>
      <c r="J10" s="182">
        <v>11</v>
      </c>
      <c r="K10" s="183">
        <v>11</v>
      </c>
      <c r="L10" s="198">
        <f>COUNTIF('FY 2026 Schedule'!$B$3:$B$591,'Planning-Need vs Planned'!B10)</f>
        <v>10</v>
      </c>
      <c r="M10" s="183">
        <v>24</v>
      </c>
      <c r="N10" s="183">
        <v>264</v>
      </c>
      <c r="O10" s="179">
        <v>0</v>
      </c>
      <c r="P10" s="184">
        <v>1.0668103448275863</v>
      </c>
    </row>
    <row r="11" spans="2:16" x14ac:dyDescent="0.25">
      <c r="B11" s="193" t="s">
        <v>55</v>
      </c>
      <c r="C11" s="178" t="s">
        <v>103</v>
      </c>
      <c r="D11" s="196" t="s">
        <v>7</v>
      </c>
      <c r="E11" s="177" t="s">
        <v>104</v>
      </c>
      <c r="F11" s="177" t="s">
        <v>105</v>
      </c>
      <c r="G11" s="179">
        <v>2046</v>
      </c>
      <c r="H11" s="180">
        <v>25</v>
      </c>
      <c r="I11" s="181">
        <v>81.84</v>
      </c>
      <c r="J11" s="182">
        <v>82</v>
      </c>
      <c r="K11" s="183">
        <v>50</v>
      </c>
      <c r="L11" s="198">
        <f>COUNTIF('FY 2026 Schedule'!$B$3:$B$591,'Planning-Need vs Planned'!B11)</f>
        <v>37</v>
      </c>
      <c r="M11" s="183">
        <v>40</v>
      </c>
      <c r="N11" s="183">
        <v>2000</v>
      </c>
      <c r="O11" s="179">
        <v>-32</v>
      </c>
      <c r="P11" s="184">
        <v>0.6109481915933529</v>
      </c>
    </row>
    <row r="12" spans="2:16" x14ac:dyDescent="0.25">
      <c r="B12" s="193" t="s">
        <v>47</v>
      </c>
      <c r="C12" s="178" t="s">
        <v>90</v>
      </c>
      <c r="D12" s="196" t="s">
        <v>7</v>
      </c>
      <c r="E12" s="177" t="s">
        <v>106</v>
      </c>
      <c r="F12" s="177" t="s">
        <v>107</v>
      </c>
      <c r="G12" s="179">
        <v>707</v>
      </c>
      <c r="H12" s="180">
        <v>25</v>
      </c>
      <c r="I12" s="181">
        <v>28.28</v>
      </c>
      <c r="J12" s="182">
        <v>29</v>
      </c>
      <c r="K12" s="183">
        <v>6</v>
      </c>
      <c r="L12" s="198">
        <f>COUNTIF('FY 2026 Schedule'!$B$3:$B$591,'Planning-Need vs Planned'!B12)</f>
        <v>5</v>
      </c>
      <c r="M12" s="183">
        <v>40</v>
      </c>
      <c r="N12" s="183">
        <v>400</v>
      </c>
      <c r="O12" s="179">
        <v>-19</v>
      </c>
      <c r="P12" s="184">
        <v>0.3536067892503536</v>
      </c>
    </row>
    <row r="13" spans="2:16" x14ac:dyDescent="0.25">
      <c r="B13" s="193" t="s">
        <v>56</v>
      </c>
      <c r="C13" s="178" t="s">
        <v>103</v>
      </c>
      <c r="D13" s="196" t="s">
        <v>7</v>
      </c>
      <c r="E13" s="177" t="s">
        <v>108</v>
      </c>
      <c r="F13" s="177" t="s">
        <v>109</v>
      </c>
      <c r="G13" s="179">
        <v>620</v>
      </c>
      <c r="H13" s="180">
        <v>35</v>
      </c>
      <c r="I13" s="181">
        <v>17.714285714285715</v>
      </c>
      <c r="J13" s="182">
        <v>18</v>
      </c>
      <c r="K13" s="183">
        <v>5</v>
      </c>
      <c r="L13" s="198">
        <f>COUNTIF('FY 2026 Schedule'!$B$3:$B$591,'Planning-Need vs Planned'!B13)</f>
        <v>5</v>
      </c>
      <c r="M13" s="183">
        <v>30</v>
      </c>
      <c r="N13" s="183">
        <v>150</v>
      </c>
      <c r="O13" s="179">
        <v>-13</v>
      </c>
      <c r="P13" s="184">
        <v>0.28225806451612906</v>
      </c>
    </row>
    <row r="14" spans="2:16" x14ac:dyDescent="0.25">
      <c r="B14" s="192" t="s">
        <v>48</v>
      </c>
      <c r="C14" s="178" t="s">
        <v>90</v>
      </c>
      <c r="D14" s="196" t="s">
        <v>7</v>
      </c>
      <c r="E14" s="177" t="s">
        <v>110</v>
      </c>
      <c r="F14" s="177" t="s">
        <v>111</v>
      </c>
      <c r="G14" s="179">
        <v>61</v>
      </c>
      <c r="H14" s="180">
        <v>25</v>
      </c>
      <c r="I14" s="181">
        <v>2.44</v>
      </c>
      <c r="J14" s="182">
        <v>3</v>
      </c>
      <c r="K14" s="183">
        <v>2</v>
      </c>
      <c r="L14" s="198">
        <f>COUNTIF('FY 2026 Schedule'!$B$3:$B$591,'Planning-Need vs Planned'!B14)</f>
        <v>3</v>
      </c>
      <c r="M14" s="183">
        <v>16</v>
      </c>
      <c r="N14" s="183">
        <v>32</v>
      </c>
      <c r="O14" s="179">
        <v>-1</v>
      </c>
      <c r="P14" s="184">
        <v>0.81967213114754101</v>
      </c>
    </row>
    <row r="15" spans="2:16" x14ac:dyDescent="0.25">
      <c r="B15" s="193" t="s">
        <v>17</v>
      </c>
      <c r="C15" s="178" t="s">
        <v>85</v>
      </c>
      <c r="D15" s="196" t="s">
        <v>7</v>
      </c>
      <c r="E15" s="177" t="s">
        <v>112</v>
      </c>
      <c r="F15" s="177">
        <v>3682</v>
      </c>
      <c r="G15" s="179">
        <v>661</v>
      </c>
      <c r="H15" s="180">
        <v>40</v>
      </c>
      <c r="I15" s="181">
        <v>16.524999999999999</v>
      </c>
      <c r="J15" s="182">
        <v>17</v>
      </c>
      <c r="K15" s="183">
        <v>23</v>
      </c>
      <c r="L15" s="198">
        <f>COUNTIF('FY 2026 Schedule'!$B$3:$B$591,'Planning-Need vs Planned'!B15)</f>
        <v>32</v>
      </c>
      <c r="M15" s="183">
        <v>40</v>
      </c>
      <c r="N15" s="183">
        <v>920</v>
      </c>
      <c r="O15" s="179">
        <v>6</v>
      </c>
      <c r="P15" s="184">
        <v>1.3918305597579426</v>
      </c>
    </row>
    <row r="16" spans="2:16" x14ac:dyDescent="0.25">
      <c r="B16" s="193" t="s">
        <v>28</v>
      </c>
      <c r="C16" s="178" t="s">
        <v>85</v>
      </c>
      <c r="D16" s="196" t="s">
        <v>7</v>
      </c>
      <c r="E16" s="177" t="s">
        <v>113</v>
      </c>
      <c r="F16" s="177">
        <v>3683</v>
      </c>
      <c r="G16" s="179">
        <v>787</v>
      </c>
      <c r="H16" s="180">
        <v>40</v>
      </c>
      <c r="I16" s="181">
        <v>19.675000000000001</v>
      </c>
      <c r="J16" s="182">
        <v>20</v>
      </c>
      <c r="K16" s="183">
        <v>22</v>
      </c>
      <c r="L16" s="198">
        <f>COUNTIF('FY 2026 Schedule'!$B$3:$B$591,'Planning-Need vs Planned'!B16)</f>
        <v>22</v>
      </c>
      <c r="M16" s="183">
        <v>24</v>
      </c>
      <c r="N16" s="183">
        <v>408</v>
      </c>
      <c r="O16" s="179">
        <v>-3</v>
      </c>
      <c r="P16" s="184">
        <v>0.86404066073697583</v>
      </c>
    </row>
    <row r="17" spans="2:16" x14ac:dyDescent="0.25">
      <c r="B17" s="192" t="s">
        <v>57</v>
      </c>
      <c r="C17" s="178" t="s">
        <v>103</v>
      </c>
      <c r="D17" s="195" t="s">
        <v>86</v>
      </c>
      <c r="E17" s="177" t="s">
        <v>114</v>
      </c>
      <c r="F17" s="177" t="s">
        <v>115</v>
      </c>
      <c r="G17" s="179">
        <v>915</v>
      </c>
      <c r="H17" s="180">
        <v>45</v>
      </c>
      <c r="I17" s="181">
        <v>20.333333333333332</v>
      </c>
      <c r="J17" s="182">
        <v>21</v>
      </c>
      <c r="K17" s="183">
        <v>21</v>
      </c>
      <c r="L17" s="198">
        <f>COUNTIF('FY 2026 Schedule'!$B$3:$B$591,'Planning-Need vs Planned'!B17)</f>
        <v>21</v>
      </c>
      <c r="M17" s="183">
        <v>24</v>
      </c>
      <c r="N17" s="183">
        <v>504</v>
      </c>
      <c r="O17" s="179">
        <v>0</v>
      </c>
      <c r="P17" s="184">
        <v>1.0327868852459017</v>
      </c>
    </row>
    <row r="18" spans="2:16" x14ac:dyDescent="0.25">
      <c r="B18" s="193" t="s">
        <v>58</v>
      </c>
      <c r="C18" s="178" t="s">
        <v>103</v>
      </c>
      <c r="D18" s="196" t="s">
        <v>7</v>
      </c>
      <c r="E18" s="177" t="s">
        <v>116</v>
      </c>
      <c r="F18" s="177" t="s">
        <v>117</v>
      </c>
      <c r="G18" s="179">
        <v>883</v>
      </c>
      <c r="H18" s="180">
        <v>30</v>
      </c>
      <c r="I18" s="181">
        <v>29.433333333333334</v>
      </c>
      <c r="J18" s="182">
        <v>30</v>
      </c>
      <c r="K18" s="183">
        <v>14</v>
      </c>
      <c r="L18" s="198">
        <f>COUNTIF('FY 2026 Schedule'!$B$3:$B$591,'Planning-Need vs Planned'!B18)</f>
        <v>0</v>
      </c>
      <c r="M18" s="183">
        <v>32</v>
      </c>
      <c r="N18" s="183">
        <v>448</v>
      </c>
      <c r="O18" s="179">
        <v>-16</v>
      </c>
      <c r="P18" s="184">
        <v>0.47565118912797283</v>
      </c>
    </row>
    <row r="19" spans="2:16" x14ac:dyDescent="0.25">
      <c r="B19" s="192" t="s">
        <v>38</v>
      </c>
      <c r="C19" s="178" t="s">
        <v>103</v>
      </c>
      <c r="D19" s="195" t="s">
        <v>86</v>
      </c>
      <c r="E19" s="177" t="s">
        <v>118</v>
      </c>
      <c r="F19" s="177" t="s">
        <v>119</v>
      </c>
      <c r="G19" s="179">
        <v>721</v>
      </c>
      <c r="H19" s="180">
        <v>45</v>
      </c>
      <c r="I19" s="181">
        <v>16.022222222222222</v>
      </c>
      <c r="J19" s="182">
        <v>17</v>
      </c>
      <c r="K19" s="183">
        <v>17</v>
      </c>
      <c r="L19" s="198">
        <f>COUNTIF('FY 2026 Schedule'!$B$3:$B$591,'Planning-Need vs Planned'!B19)</f>
        <v>17</v>
      </c>
      <c r="M19" s="183">
        <v>30</v>
      </c>
      <c r="N19" s="183">
        <v>510</v>
      </c>
      <c r="O19" s="179">
        <v>0</v>
      </c>
      <c r="P19" s="184">
        <v>1.0610263522884882</v>
      </c>
    </row>
    <row r="20" spans="2:16" x14ac:dyDescent="0.25">
      <c r="B20" s="192" t="s">
        <v>120</v>
      </c>
      <c r="C20" s="178" t="s">
        <v>100</v>
      </c>
      <c r="D20" s="195" t="s">
        <v>86</v>
      </c>
      <c r="E20" s="177" t="s">
        <v>121</v>
      </c>
      <c r="F20" s="177" t="s">
        <v>122</v>
      </c>
      <c r="G20" s="179">
        <v>791</v>
      </c>
      <c r="H20" s="180">
        <v>45</v>
      </c>
      <c r="I20" s="181">
        <v>17.577777777777779</v>
      </c>
      <c r="J20" s="182">
        <v>18</v>
      </c>
      <c r="K20" s="183">
        <v>18</v>
      </c>
      <c r="L20" s="198">
        <f>COUNTIF('FY 2026 Schedule'!$B$3:$B$591,'Planning-Need vs Planned'!B20)</f>
        <v>20</v>
      </c>
      <c r="M20" s="183">
        <v>24</v>
      </c>
      <c r="N20" s="183">
        <v>432</v>
      </c>
      <c r="O20" s="179">
        <v>0</v>
      </c>
      <c r="P20" s="184">
        <v>1.0240202275600505</v>
      </c>
    </row>
    <row r="21" spans="2:16" x14ac:dyDescent="0.25">
      <c r="B21" s="193" t="s">
        <v>29</v>
      </c>
      <c r="C21" s="178" t="s">
        <v>85</v>
      </c>
      <c r="D21" s="196" t="s">
        <v>7</v>
      </c>
      <c r="E21" s="177" t="s">
        <v>123</v>
      </c>
      <c r="F21" s="185" t="s">
        <v>124</v>
      </c>
      <c r="G21" s="179">
        <v>1042</v>
      </c>
      <c r="H21" s="180">
        <v>25</v>
      </c>
      <c r="I21" s="181">
        <v>41.68</v>
      </c>
      <c r="J21" s="182">
        <v>42</v>
      </c>
      <c r="K21" s="183">
        <v>18</v>
      </c>
      <c r="L21" s="198">
        <f>COUNTIF('FY 2026 Schedule'!$B$3:$B$591,'Planning-Need vs Planned'!B21)</f>
        <v>36</v>
      </c>
      <c r="M21" s="183">
        <v>24</v>
      </c>
      <c r="N21" s="183">
        <v>408</v>
      </c>
      <c r="O21" s="179">
        <v>-25</v>
      </c>
      <c r="P21" s="184">
        <v>0.40786948176583493</v>
      </c>
    </row>
    <row r="22" spans="2:16" x14ac:dyDescent="0.25">
      <c r="B22" s="193" t="s">
        <v>31</v>
      </c>
      <c r="C22" s="178" t="s">
        <v>85</v>
      </c>
      <c r="D22" s="196" t="s">
        <v>7</v>
      </c>
      <c r="E22" s="177" t="s">
        <v>125</v>
      </c>
      <c r="F22" s="177" t="s">
        <v>126</v>
      </c>
      <c r="G22" s="179">
        <v>1705</v>
      </c>
      <c r="H22" s="180">
        <v>30</v>
      </c>
      <c r="I22" s="181">
        <v>56.833333333333336</v>
      </c>
      <c r="J22" s="182">
        <v>57</v>
      </c>
      <c r="K22" s="183">
        <v>25</v>
      </c>
      <c r="L22" s="198">
        <f>COUNTIF('FY 2026 Schedule'!$B$3:$B$591,'Planning-Need vs Planned'!B22)</f>
        <v>25</v>
      </c>
      <c r="M22" s="183">
        <v>8</v>
      </c>
      <c r="N22" s="183">
        <v>144</v>
      </c>
      <c r="O22" s="179">
        <v>-39</v>
      </c>
      <c r="P22" s="184">
        <v>0.31671554252199413</v>
      </c>
    </row>
    <row r="23" spans="2:16" x14ac:dyDescent="0.25">
      <c r="B23" s="193" t="s">
        <v>32</v>
      </c>
      <c r="C23" s="178" t="s">
        <v>85</v>
      </c>
      <c r="D23" s="196" t="s">
        <v>7</v>
      </c>
      <c r="E23" s="177" t="s">
        <v>127</v>
      </c>
      <c r="F23" s="177" t="s">
        <v>128</v>
      </c>
      <c r="G23" s="179">
        <v>614</v>
      </c>
      <c r="H23" s="180">
        <v>30</v>
      </c>
      <c r="I23" s="181">
        <v>20.466666666666665</v>
      </c>
      <c r="J23" s="182">
        <v>21</v>
      </c>
      <c r="K23" s="183">
        <v>9</v>
      </c>
      <c r="L23" s="198">
        <f>COUNTIF('FY 2026 Schedule'!$B$3:$B$591,'Planning-Need vs Planned'!B23)</f>
        <v>0</v>
      </c>
      <c r="M23" s="183">
        <v>16</v>
      </c>
      <c r="N23" s="183">
        <v>144</v>
      </c>
      <c r="O23" s="179">
        <v>-12</v>
      </c>
      <c r="P23" s="184">
        <v>0.43973941368078173</v>
      </c>
    </row>
    <row r="24" spans="2:16" x14ac:dyDescent="0.25">
      <c r="B24" s="193" t="s">
        <v>33</v>
      </c>
      <c r="C24" s="178" t="s">
        <v>85</v>
      </c>
      <c r="D24" s="196" t="s">
        <v>7</v>
      </c>
      <c r="E24" s="177" t="s">
        <v>129</v>
      </c>
      <c r="F24" s="177" t="s">
        <v>130</v>
      </c>
      <c r="G24" s="179">
        <v>824</v>
      </c>
      <c r="H24" s="180">
        <v>30</v>
      </c>
      <c r="I24" s="181">
        <v>27.466666666666665</v>
      </c>
      <c r="J24" s="182">
        <v>28</v>
      </c>
      <c r="K24" s="183">
        <v>15</v>
      </c>
      <c r="L24" s="198">
        <f>COUNTIF('FY 2026 Schedule'!$B$3:$B$591,'Planning-Need vs Planned'!B24)</f>
        <v>0</v>
      </c>
      <c r="M24" s="183">
        <v>8</v>
      </c>
      <c r="N24" s="183">
        <v>120</v>
      </c>
      <c r="O24" s="179">
        <v>-13</v>
      </c>
      <c r="P24" s="184">
        <v>0.54611650485436891</v>
      </c>
    </row>
    <row r="25" spans="2:16" x14ac:dyDescent="0.25">
      <c r="B25" s="193" t="s">
        <v>34</v>
      </c>
      <c r="C25" s="178" t="s">
        <v>85</v>
      </c>
      <c r="D25" s="196" t="s">
        <v>7</v>
      </c>
      <c r="E25" s="177" t="s">
        <v>131</v>
      </c>
      <c r="F25" s="177" t="s">
        <v>132</v>
      </c>
      <c r="G25" s="179">
        <v>436</v>
      </c>
      <c r="H25" s="180">
        <v>30</v>
      </c>
      <c r="I25" s="181">
        <v>14.533333333333333</v>
      </c>
      <c r="J25" s="182">
        <v>15</v>
      </c>
      <c r="K25" s="183">
        <v>8</v>
      </c>
      <c r="L25" s="198">
        <f>COUNTIF('FY 2026 Schedule'!$B$3:$B$591,'Planning-Need vs Planned'!B25)</f>
        <v>0</v>
      </c>
      <c r="M25" s="183">
        <v>8</v>
      </c>
      <c r="N25" s="183">
        <v>72</v>
      </c>
      <c r="O25" s="179">
        <v>-6</v>
      </c>
      <c r="P25" s="184">
        <v>0.61926605504587151</v>
      </c>
    </row>
    <row r="26" spans="2:16" x14ac:dyDescent="0.25">
      <c r="B26" s="192" t="s">
        <v>49</v>
      </c>
      <c r="C26" s="178" t="s">
        <v>90</v>
      </c>
      <c r="D26" s="196" t="s">
        <v>7</v>
      </c>
      <c r="E26" s="177" t="s">
        <v>133</v>
      </c>
      <c r="F26" s="177">
        <v>5891</v>
      </c>
      <c r="G26" s="179">
        <v>813</v>
      </c>
      <c r="H26" s="180">
        <v>25</v>
      </c>
      <c r="I26" s="181">
        <v>32.520000000000003</v>
      </c>
      <c r="J26" s="182">
        <v>33</v>
      </c>
      <c r="K26" s="183">
        <v>11</v>
      </c>
      <c r="L26" s="198">
        <f>COUNTIF('FY 2026 Schedule'!$B$3:$B$591,'Planning-Need vs Planned'!B26)</f>
        <v>7</v>
      </c>
      <c r="M26" s="183">
        <v>24</v>
      </c>
      <c r="N26" s="183">
        <v>264</v>
      </c>
      <c r="O26" s="179">
        <v>-22</v>
      </c>
      <c r="P26" s="184">
        <v>0.33825338253382536</v>
      </c>
    </row>
    <row r="27" spans="2:16" x14ac:dyDescent="0.25">
      <c r="B27" s="192" t="s">
        <v>50</v>
      </c>
      <c r="C27" s="178" t="s">
        <v>90</v>
      </c>
      <c r="D27" s="195" t="s">
        <v>86</v>
      </c>
      <c r="E27" s="177" t="s">
        <v>134</v>
      </c>
      <c r="F27" s="177" t="s">
        <v>135</v>
      </c>
      <c r="G27" s="179">
        <v>1075</v>
      </c>
      <c r="H27" s="180">
        <v>40</v>
      </c>
      <c r="I27" s="181">
        <v>26.875</v>
      </c>
      <c r="J27" s="182">
        <v>27</v>
      </c>
      <c r="K27" s="183">
        <v>19</v>
      </c>
      <c r="L27" s="198">
        <f>COUNTIF('FY 2026 Schedule'!$B$3:$B$591,'Planning-Need vs Planned'!B27)</f>
        <v>19</v>
      </c>
      <c r="M27" s="183">
        <v>24</v>
      </c>
      <c r="N27" s="183">
        <v>456</v>
      </c>
      <c r="O27" s="179">
        <v>-8</v>
      </c>
      <c r="P27" s="184">
        <v>0.7069767441860465</v>
      </c>
    </row>
    <row r="28" spans="2:16" x14ac:dyDescent="0.25">
      <c r="B28" s="192" t="s">
        <v>51</v>
      </c>
      <c r="C28" s="178" t="s">
        <v>90</v>
      </c>
      <c r="D28" s="195" t="s">
        <v>86</v>
      </c>
      <c r="E28" s="177" t="s">
        <v>136</v>
      </c>
      <c r="F28" s="177" t="s">
        <v>137</v>
      </c>
      <c r="G28" s="179">
        <v>553</v>
      </c>
      <c r="H28" s="180">
        <v>30</v>
      </c>
      <c r="I28" s="181">
        <v>18.433333333333334</v>
      </c>
      <c r="J28" s="182">
        <v>19</v>
      </c>
      <c r="K28" s="183">
        <v>16</v>
      </c>
      <c r="L28" s="198">
        <f>COUNTIF('FY 2026 Schedule'!$B$3:$B$591,'Planning-Need vs Planned'!B28)</f>
        <v>9</v>
      </c>
      <c r="M28" s="183">
        <v>32</v>
      </c>
      <c r="N28" s="183">
        <v>512</v>
      </c>
      <c r="O28" s="179">
        <v>-3</v>
      </c>
      <c r="P28" s="184">
        <v>0.86799276672694392</v>
      </c>
    </row>
    <row r="29" spans="2:16" x14ac:dyDescent="0.25">
      <c r="B29" s="192" t="s">
        <v>59</v>
      </c>
      <c r="C29" s="178" t="s">
        <v>103</v>
      </c>
      <c r="D29" s="195" t="s">
        <v>86</v>
      </c>
      <c r="E29" s="177" t="s">
        <v>138</v>
      </c>
      <c r="F29" s="177" t="s">
        <v>139</v>
      </c>
      <c r="G29" s="179">
        <v>1606</v>
      </c>
      <c r="H29" s="180">
        <v>30</v>
      </c>
      <c r="I29" s="181">
        <v>53.533333333333331</v>
      </c>
      <c r="J29" s="182">
        <v>54</v>
      </c>
      <c r="K29" s="183">
        <v>27</v>
      </c>
      <c r="L29" s="198">
        <f>COUNTIF('FY 2026 Schedule'!$B$3:$B$591,'Planning-Need vs Planned'!B29)</f>
        <v>24</v>
      </c>
      <c r="M29" s="183">
        <v>32</v>
      </c>
      <c r="N29" s="183">
        <v>960</v>
      </c>
      <c r="O29" s="179">
        <v>-24</v>
      </c>
      <c r="P29" s="184">
        <v>0.56039850560398508</v>
      </c>
    </row>
    <row r="30" spans="2:16" x14ac:dyDescent="0.25">
      <c r="B30" s="193" t="s">
        <v>60</v>
      </c>
      <c r="C30" s="178" t="s">
        <v>103</v>
      </c>
      <c r="D30" s="196" t="s">
        <v>86</v>
      </c>
      <c r="E30" s="177" t="s">
        <v>140</v>
      </c>
      <c r="F30" s="177" t="s">
        <v>141</v>
      </c>
      <c r="G30" s="179">
        <v>614</v>
      </c>
      <c r="H30" s="180">
        <v>30</v>
      </c>
      <c r="I30" s="181">
        <v>20.466666666666665</v>
      </c>
      <c r="J30" s="182">
        <v>21</v>
      </c>
      <c r="K30" s="183">
        <v>10</v>
      </c>
      <c r="L30" s="198">
        <f>COUNTIF('FY 2026 Schedule'!$B$3:$B$591,'Planning-Need vs Planned'!B30)</f>
        <v>0</v>
      </c>
      <c r="M30" s="183">
        <v>32</v>
      </c>
      <c r="N30" s="183">
        <v>320</v>
      </c>
      <c r="O30" s="179">
        <v>-11</v>
      </c>
      <c r="P30" s="184">
        <v>0.48859934853420195</v>
      </c>
    </row>
    <row r="31" spans="2:16" x14ac:dyDescent="0.25">
      <c r="B31" s="192" t="s">
        <v>61</v>
      </c>
      <c r="C31" s="178" t="s">
        <v>103</v>
      </c>
      <c r="D31" s="195" t="s">
        <v>86</v>
      </c>
      <c r="E31" s="177" t="s">
        <v>142</v>
      </c>
      <c r="F31" s="177">
        <v>1228</v>
      </c>
      <c r="G31" s="179">
        <v>1162</v>
      </c>
      <c r="H31" s="180">
        <v>45</v>
      </c>
      <c r="I31" s="181">
        <v>25.822222222222223</v>
      </c>
      <c r="J31" s="182">
        <v>26</v>
      </c>
      <c r="K31" s="183">
        <v>23</v>
      </c>
      <c r="L31" s="198">
        <f>COUNTIF('FY 2026 Schedule'!$B$3:$B$591,'Planning-Need vs Planned'!B31)</f>
        <v>19</v>
      </c>
      <c r="M31" s="183">
        <v>40</v>
      </c>
      <c r="N31" s="183">
        <v>920</v>
      </c>
      <c r="O31" s="179">
        <v>-3</v>
      </c>
      <c r="P31" s="184">
        <v>0.89070567986230642</v>
      </c>
    </row>
    <row r="32" spans="2:16" x14ac:dyDescent="0.25">
      <c r="B32" s="192" t="s">
        <v>52</v>
      </c>
      <c r="C32" s="178" t="s">
        <v>90</v>
      </c>
      <c r="D32" s="195" t="s">
        <v>86</v>
      </c>
      <c r="E32" s="177" t="s">
        <v>143</v>
      </c>
      <c r="F32" s="177">
        <v>3555</v>
      </c>
      <c r="G32" s="179">
        <v>685</v>
      </c>
      <c r="H32" s="180">
        <v>30</v>
      </c>
      <c r="I32" s="181">
        <v>22.833333333333332</v>
      </c>
      <c r="J32" s="182">
        <v>23</v>
      </c>
      <c r="K32" s="183">
        <v>16</v>
      </c>
      <c r="L32" s="198">
        <f>COUNTIF('FY 2026 Schedule'!$B$3:$B$591,'Planning-Need vs Planned'!B32)</f>
        <v>9</v>
      </c>
      <c r="M32" s="183">
        <v>32</v>
      </c>
      <c r="N32" s="183">
        <v>512</v>
      </c>
      <c r="O32" s="179">
        <v>-7</v>
      </c>
      <c r="P32" s="184">
        <v>0.7007299270072993</v>
      </c>
    </row>
    <row r="33" spans="2:16" x14ac:dyDescent="0.25">
      <c r="B33" s="193" t="s">
        <v>35</v>
      </c>
      <c r="C33" s="178" t="s">
        <v>85</v>
      </c>
      <c r="D33" s="196" t="s">
        <v>7</v>
      </c>
      <c r="E33" s="177" t="s">
        <v>144</v>
      </c>
      <c r="F33" s="177" t="s">
        <v>145</v>
      </c>
      <c r="G33" s="179">
        <v>987</v>
      </c>
      <c r="H33" s="180">
        <v>25</v>
      </c>
      <c r="I33" s="181">
        <v>39.479999999999997</v>
      </c>
      <c r="J33" s="181">
        <v>40</v>
      </c>
      <c r="K33" s="183">
        <v>22</v>
      </c>
      <c r="L33" s="198">
        <f>COUNTIF('FY 2026 Schedule'!$B$3:$B$591,'Planning-Need vs Planned'!B33)</f>
        <v>30</v>
      </c>
      <c r="M33" s="183">
        <v>8</v>
      </c>
      <c r="N33" s="183">
        <v>176</v>
      </c>
      <c r="O33" s="179">
        <v>-18</v>
      </c>
      <c r="P33" s="184">
        <v>0.55724417426545081</v>
      </c>
    </row>
    <row r="34" spans="2:16" x14ac:dyDescent="0.25">
      <c r="B34" s="192" t="s">
        <v>39</v>
      </c>
      <c r="C34" s="178" t="s">
        <v>100</v>
      </c>
      <c r="D34" s="195" t="s">
        <v>86</v>
      </c>
      <c r="E34" s="177" t="s">
        <v>146</v>
      </c>
      <c r="F34" s="177" t="s">
        <v>147</v>
      </c>
      <c r="G34" s="179">
        <v>808</v>
      </c>
      <c r="H34" s="180">
        <v>45</v>
      </c>
      <c r="I34" s="181">
        <v>17.955555555555556</v>
      </c>
      <c r="J34" s="182">
        <v>18</v>
      </c>
      <c r="K34" s="183">
        <v>18</v>
      </c>
      <c r="L34" s="198">
        <f>COUNTIF('FY 2026 Schedule'!$B$3:$B$591,'Planning-Need vs Planned'!B34)</f>
        <v>17</v>
      </c>
      <c r="M34" s="183">
        <v>16</v>
      </c>
      <c r="N34" s="183">
        <v>288</v>
      </c>
      <c r="O34" s="179">
        <v>0</v>
      </c>
      <c r="P34" s="184">
        <v>1.0024752475247525</v>
      </c>
    </row>
    <row r="35" spans="2:16" x14ac:dyDescent="0.25">
      <c r="B35" s="192" t="s">
        <v>53</v>
      </c>
      <c r="C35" s="178" t="s">
        <v>90</v>
      </c>
      <c r="D35" s="196" t="s">
        <v>7</v>
      </c>
      <c r="E35" s="177" t="s">
        <v>148</v>
      </c>
      <c r="F35" s="177" t="s">
        <v>149</v>
      </c>
      <c r="G35" s="179">
        <v>1437</v>
      </c>
      <c r="H35" s="180">
        <v>30</v>
      </c>
      <c r="I35" s="181">
        <v>47.9</v>
      </c>
      <c r="J35" s="182">
        <v>48</v>
      </c>
      <c r="K35" s="183">
        <v>22</v>
      </c>
      <c r="L35" s="198">
        <f>COUNTIF('FY 2026 Schedule'!$B$3:$B$591,'Planning-Need vs Planned'!B35)</f>
        <v>25</v>
      </c>
      <c r="M35" s="183">
        <v>40</v>
      </c>
      <c r="N35" s="183">
        <v>920</v>
      </c>
      <c r="O35" s="179">
        <v>-25</v>
      </c>
      <c r="P35" s="184">
        <v>0.4801670146137787</v>
      </c>
    </row>
    <row r="36" spans="2:16" x14ac:dyDescent="0.25">
      <c r="B36" s="192" t="s">
        <v>40</v>
      </c>
      <c r="C36" s="178" t="s">
        <v>100</v>
      </c>
      <c r="D36" s="195" t="s">
        <v>86</v>
      </c>
      <c r="E36" s="177" t="s">
        <v>150</v>
      </c>
      <c r="F36" s="177" t="s">
        <v>151</v>
      </c>
      <c r="G36" s="179">
        <v>1601</v>
      </c>
      <c r="H36" s="180">
        <v>100</v>
      </c>
      <c r="I36" s="181">
        <v>16.010000000000002</v>
      </c>
      <c r="J36" s="181">
        <v>17</v>
      </c>
      <c r="K36" s="183">
        <v>17</v>
      </c>
      <c r="L36" s="198">
        <f>COUNTIF('FY 2026 Schedule'!$B$3:$B$591,'Planning-Need vs Planned'!B36)</f>
        <v>11</v>
      </c>
      <c r="M36" s="183">
        <v>16</v>
      </c>
      <c r="N36" s="183">
        <v>272</v>
      </c>
      <c r="O36" s="179">
        <v>0</v>
      </c>
      <c r="P36" s="184">
        <v>1.0618363522798251</v>
      </c>
    </row>
    <row r="37" spans="2:16" x14ac:dyDescent="0.25">
      <c r="B37" s="192" t="s">
        <v>54</v>
      </c>
      <c r="C37" s="178" t="s">
        <v>100</v>
      </c>
      <c r="D37" s="195" t="s">
        <v>86</v>
      </c>
      <c r="E37" s="177" t="s">
        <v>152</v>
      </c>
      <c r="F37" s="177" t="s">
        <v>153</v>
      </c>
      <c r="G37" s="179">
        <v>92</v>
      </c>
      <c r="H37" s="180">
        <v>25</v>
      </c>
      <c r="I37" s="181">
        <v>3.68</v>
      </c>
      <c r="J37" s="182">
        <v>4</v>
      </c>
      <c r="K37" s="183">
        <v>4</v>
      </c>
      <c r="L37" s="198">
        <f>COUNTIF('FY 2026 Schedule'!$B$3:$B$591,'Planning-Need vs Planned'!B37)</f>
        <v>5</v>
      </c>
      <c r="M37" s="183">
        <v>16</v>
      </c>
      <c r="N37" s="183">
        <v>64</v>
      </c>
      <c r="O37" s="179">
        <v>0</v>
      </c>
      <c r="P37" s="184">
        <v>1.0869565217391304</v>
      </c>
    </row>
    <row r="38" spans="2:16" x14ac:dyDescent="0.25">
      <c r="B38" s="193" t="s">
        <v>36</v>
      </c>
      <c r="C38" s="178" t="s">
        <v>85</v>
      </c>
      <c r="D38" s="196" t="s">
        <v>7</v>
      </c>
      <c r="E38" s="177" t="s">
        <v>154</v>
      </c>
      <c r="F38" s="177" t="s">
        <v>155</v>
      </c>
      <c r="G38" s="179">
        <v>397</v>
      </c>
      <c r="H38" s="180">
        <v>25</v>
      </c>
      <c r="I38" s="181">
        <v>15.88</v>
      </c>
      <c r="J38" s="182">
        <v>16</v>
      </c>
      <c r="K38" s="186">
        <v>2</v>
      </c>
      <c r="L38" s="198">
        <f>COUNTIF('FY 2026 Schedule'!$B$3:$B$591,'Planning-Need vs Planned'!B38)</f>
        <v>7</v>
      </c>
      <c r="M38" s="186">
        <v>40</v>
      </c>
      <c r="N38" s="186">
        <v>80</v>
      </c>
      <c r="O38" s="187">
        <v>-14</v>
      </c>
      <c r="P38" s="188">
        <v>0.12594458438287154</v>
      </c>
    </row>
    <row r="39" spans="2:16" x14ac:dyDescent="0.25">
      <c r="B39" s="194" t="s">
        <v>62</v>
      </c>
      <c r="C39" s="189"/>
      <c r="D39" s="197"/>
      <c r="E39" s="189"/>
      <c r="F39" s="189"/>
      <c r="G39" s="190">
        <v>26864</v>
      </c>
      <c r="H39" s="191"/>
      <c r="I39" s="191"/>
      <c r="J39" s="191">
        <v>837</v>
      </c>
      <c r="K39" s="191">
        <f>SUM(K3:K38)</f>
        <v>497</v>
      </c>
      <c r="L39" s="202">
        <f>SUM(L3:L38)</f>
        <v>443</v>
      </c>
      <c r="M39" s="191"/>
      <c r="N39" s="191"/>
      <c r="O39" s="191">
        <v>-344</v>
      </c>
      <c r="P39" s="191"/>
    </row>
    <row r="40" spans="2:16" x14ac:dyDescent="0.25">
      <c r="K40" s="200"/>
    </row>
  </sheetData>
  <autoFilter ref="B2:L39" xr:uid="{D3997591-2F1C-4C8A-A240-F590D5790C51}"/>
  <conditionalFormatting sqref="L3:L38">
    <cfRule type="expression" dxfId="1570" priority="1">
      <formula>L3&gt;K3</formula>
    </cfRule>
    <cfRule type="expression" dxfId="1569" priority="2">
      <formula>L3&lt;K3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18340-F597-46CD-82B7-362B34F97887}">
  <dimension ref="A3:A34"/>
  <sheetViews>
    <sheetView workbookViewId="0">
      <selection activeCell="C14" sqref="C14"/>
    </sheetView>
  </sheetViews>
  <sheetFormatPr defaultRowHeight="15" x14ac:dyDescent="0.25"/>
  <cols>
    <col min="1" max="1" width="27.28515625" bestFit="1" customWidth="1"/>
  </cols>
  <sheetData>
    <row r="3" spans="1:1" x14ac:dyDescent="0.25">
      <c r="A3" s="6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86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  <row r="33" spans="1:1" x14ac:dyDescent="0.25">
      <c r="A33" t="s">
        <v>185</v>
      </c>
    </row>
    <row r="34" spans="1:1" x14ac:dyDescent="0.25">
      <c r="A34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E3317-33E4-4429-8800-0B69D62EC4D0}">
  <sheetPr>
    <tabColor rgb="FFFF0000"/>
  </sheetPr>
  <dimension ref="A3:AE33"/>
  <sheetViews>
    <sheetView workbookViewId="0">
      <selection activeCell="H12" sqref="H12"/>
    </sheetView>
  </sheetViews>
  <sheetFormatPr defaultColWidth="14.28515625" defaultRowHeight="15" x14ac:dyDescent="0.25"/>
  <cols>
    <col min="2" max="2" width="61" customWidth="1"/>
    <col min="4" max="4" width="10.5703125" customWidth="1"/>
    <col min="5" max="5" width="15.5703125" customWidth="1"/>
  </cols>
  <sheetData>
    <row r="3" spans="1:31" s="243" customFormat="1" x14ac:dyDescent="0.25">
      <c r="A3" s="243" t="s">
        <v>187</v>
      </c>
      <c r="B3" s="243" t="s">
        <v>188</v>
      </c>
      <c r="C3" s="243" t="s">
        <v>73</v>
      </c>
      <c r="D3" s="243" t="s">
        <v>189</v>
      </c>
      <c r="E3" s="243" t="s">
        <v>156</v>
      </c>
      <c r="F3" s="243" t="s">
        <v>190</v>
      </c>
      <c r="G3" s="243" t="s">
        <v>191</v>
      </c>
      <c r="H3" s="243" t="s">
        <v>192</v>
      </c>
      <c r="I3" s="243" t="s">
        <v>193</v>
      </c>
      <c r="J3" s="243" t="s">
        <v>194</v>
      </c>
      <c r="K3" s="243" t="s">
        <v>195</v>
      </c>
      <c r="L3" s="243" t="s">
        <v>196</v>
      </c>
      <c r="M3" s="243" t="s">
        <v>197</v>
      </c>
      <c r="N3" s="243" t="s">
        <v>198</v>
      </c>
      <c r="O3" s="243" t="s">
        <v>199</v>
      </c>
      <c r="P3" s="243" t="s">
        <v>200</v>
      </c>
      <c r="Q3" s="243" t="s">
        <v>201</v>
      </c>
      <c r="R3" s="243" t="s">
        <v>202</v>
      </c>
      <c r="S3" s="243" t="s">
        <v>203</v>
      </c>
      <c r="T3" s="243" t="s">
        <v>204</v>
      </c>
      <c r="U3" s="243" t="s">
        <v>205</v>
      </c>
      <c r="V3" s="243" t="s">
        <v>206</v>
      </c>
      <c r="W3" s="243" t="s">
        <v>207</v>
      </c>
      <c r="X3" s="243" t="s">
        <v>208</v>
      </c>
      <c r="Y3" s="243" t="s">
        <v>13</v>
      </c>
      <c r="Z3" s="243" t="s">
        <v>14</v>
      </c>
      <c r="AA3" s="243" t="s">
        <v>209</v>
      </c>
      <c r="AB3" s="243" t="s">
        <v>210</v>
      </c>
      <c r="AC3" s="243" t="s">
        <v>211</v>
      </c>
      <c r="AD3" s="243" t="s">
        <v>212</v>
      </c>
      <c r="AE3" s="243" t="s">
        <v>213</v>
      </c>
    </row>
    <row r="4" spans="1:31" x14ac:dyDescent="0.25">
      <c r="A4" s="251">
        <v>45586</v>
      </c>
      <c r="B4" s="245" t="s">
        <v>32</v>
      </c>
      <c r="C4" s="245" t="s">
        <v>127</v>
      </c>
      <c r="D4" s="245" t="s">
        <v>128</v>
      </c>
      <c r="E4" s="245" t="s">
        <v>214</v>
      </c>
      <c r="F4" s="244">
        <v>45628</v>
      </c>
      <c r="G4" s="244">
        <v>45629</v>
      </c>
      <c r="H4" s="245">
        <v>800</v>
      </c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</row>
    <row r="5" spans="1:31" x14ac:dyDescent="0.25">
      <c r="A5" s="251">
        <v>45586</v>
      </c>
      <c r="B5" s="245" t="s">
        <v>34</v>
      </c>
      <c r="C5" s="245" t="s">
        <v>131</v>
      </c>
      <c r="D5" s="245" t="s">
        <v>132</v>
      </c>
      <c r="E5" s="245" t="s">
        <v>214</v>
      </c>
      <c r="F5" s="244">
        <v>45630</v>
      </c>
      <c r="G5" s="244">
        <v>45630</v>
      </c>
      <c r="H5" s="245">
        <v>800</v>
      </c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</row>
    <row r="6" spans="1:31" x14ac:dyDescent="0.25">
      <c r="A6" s="251">
        <v>45670</v>
      </c>
      <c r="B6" s="245" t="s">
        <v>215</v>
      </c>
      <c r="C6" s="245" t="s">
        <v>136</v>
      </c>
      <c r="D6" s="245" t="s">
        <v>137</v>
      </c>
      <c r="E6" s="245" t="s">
        <v>6</v>
      </c>
      <c r="F6" s="244">
        <v>45740</v>
      </c>
      <c r="G6" s="244">
        <v>45743</v>
      </c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</row>
    <row r="7" spans="1:31" x14ac:dyDescent="0.25">
      <c r="A7" s="251">
        <v>45671</v>
      </c>
      <c r="B7" s="109" t="s">
        <v>35</v>
      </c>
      <c r="C7" s="250" t="str">
        <f>VLOOKUP(Table2[[#This Row],[Course Title]],'TSD-Data'!$A$1:$E$56,2,FALSE)</f>
        <v>A-493-0012</v>
      </c>
      <c r="D7" s="245" t="s">
        <v>145</v>
      </c>
      <c r="E7" s="109" t="s">
        <v>216</v>
      </c>
      <c r="F7" s="244">
        <v>45699</v>
      </c>
      <c r="G7" s="244">
        <v>45699</v>
      </c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</row>
    <row r="8" spans="1:31" x14ac:dyDescent="0.25">
      <c r="A8" s="251">
        <v>45671</v>
      </c>
      <c r="B8" s="109" t="s">
        <v>34</v>
      </c>
      <c r="C8" s="250" t="str">
        <f>VLOOKUP(Table2[[#This Row],[Course Title]],'TSD-Data'!$A$1:$E$56,2,FALSE)</f>
        <v>A-493-0061</v>
      </c>
      <c r="D8" s="245" t="s">
        <v>132</v>
      </c>
      <c r="E8" s="109" t="s">
        <v>216</v>
      </c>
      <c r="F8" s="244">
        <v>45698</v>
      </c>
      <c r="G8" s="244">
        <v>45698</v>
      </c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</row>
    <row r="9" spans="1:31" x14ac:dyDescent="0.25">
      <c r="A9" s="245"/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</row>
    <row r="10" spans="1:31" x14ac:dyDescent="0.25">
      <c r="A10" s="245"/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</row>
    <row r="11" spans="1:31" x14ac:dyDescent="0.25">
      <c r="A11" s="245"/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</row>
    <row r="12" spans="1:31" x14ac:dyDescent="0.25">
      <c r="A12" s="245"/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</row>
    <row r="13" spans="1:31" x14ac:dyDescent="0.25">
      <c r="A13" s="245"/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</row>
    <row r="14" spans="1:31" x14ac:dyDescent="0.25">
      <c r="A14" s="245"/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</row>
    <row r="15" spans="1:31" x14ac:dyDescent="0.25">
      <c r="A15" s="245"/>
      <c r="B15" s="245"/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</row>
    <row r="16" spans="1:31" x14ac:dyDescent="0.25">
      <c r="A16" s="245"/>
      <c r="B16" s="245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</row>
    <row r="17" spans="1:31" x14ac:dyDescent="0.25">
      <c r="A17" s="245"/>
      <c r="B17" s="245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</row>
    <row r="18" spans="1:31" x14ac:dyDescent="0.25">
      <c r="A18" s="245"/>
      <c r="B18" s="245"/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</row>
    <row r="19" spans="1:31" x14ac:dyDescent="0.25">
      <c r="A19" s="245"/>
      <c r="B19" s="245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</row>
    <row r="20" spans="1:31" x14ac:dyDescent="0.25">
      <c r="A20" s="245"/>
      <c r="B20" s="245"/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</row>
    <row r="21" spans="1:31" x14ac:dyDescent="0.25">
      <c r="A21" s="245"/>
      <c r="B21" s="245"/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</row>
    <row r="22" spans="1:31" x14ac:dyDescent="0.25">
      <c r="A22" s="245"/>
      <c r="B22" s="245"/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</row>
    <row r="23" spans="1:31" x14ac:dyDescent="0.25">
      <c r="A23" s="245"/>
      <c r="B23" s="245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</row>
    <row r="24" spans="1:31" x14ac:dyDescent="0.25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</row>
    <row r="25" spans="1:31" x14ac:dyDescent="0.25">
      <c r="A25" s="245"/>
      <c r="B25" s="245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</row>
    <row r="26" spans="1:31" x14ac:dyDescent="0.25">
      <c r="A26" s="245"/>
      <c r="B26" s="245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</row>
    <row r="27" spans="1:31" x14ac:dyDescent="0.25">
      <c r="A27" s="245"/>
      <c r="B27" s="245"/>
      <c r="C27" s="245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</row>
    <row r="28" spans="1:31" x14ac:dyDescent="0.25">
      <c r="A28" s="245"/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</row>
    <row r="29" spans="1:31" x14ac:dyDescent="0.25">
      <c r="A29" s="245"/>
      <c r="B29" s="245"/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</row>
    <row r="30" spans="1:31" x14ac:dyDescent="0.25">
      <c r="A30" s="245"/>
      <c r="B30" s="245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</row>
    <row r="31" spans="1:31" x14ac:dyDescent="0.25">
      <c r="A31" s="245"/>
      <c r="B31" s="245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</row>
    <row r="32" spans="1:31" x14ac:dyDescent="0.25">
      <c r="A32" s="245"/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</row>
    <row r="33" spans="1:31" x14ac:dyDescent="0.25">
      <c r="A33" s="245"/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</row>
  </sheetData>
  <protectedRanges>
    <protectedRange algorithmName="SHA-512" hashValue="n6K25g9uzAcpntxjqTQaPVdKX1eij75CLB1gBuUNBybVL5B3VaxVW/Tcen54TXijIel0fCN9KO3xZiLZCJMSZw==" saltValue="89UdTK4UUElaUoKBccfOYw==" spinCount="100000" sqref="C7" name="CIN CDP_1"/>
    <protectedRange algorithmName="SHA-512" hashValue="n6K25g9uzAcpntxjqTQaPVdKX1eij75CLB1gBuUNBybVL5B3VaxVW/Tcen54TXijIel0fCN9KO3xZiLZCJMSZw==" saltValue="89UdTK4UUElaUoKBccfOYw==" spinCount="100000" sqref="C8" name="CIN CDP_1_1"/>
  </protectedRanges>
  <conditionalFormatting sqref="E7:E8">
    <cfRule type="expression" dxfId="1568" priority="1">
      <formula>$W7="Benzick, Sue"</formula>
    </cfRule>
    <cfRule type="expression" dxfId="1567" priority="2">
      <formula>$W7="Jenne, Richard"</formula>
    </cfRule>
    <cfRule type="expression" dxfId="1566" priority="3">
      <formula>$W7="McQueen, Jennifer"</formula>
    </cfRule>
  </conditionalFormatting>
  <dataValidations count="1">
    <dataValidation type="list" allowBlank="1" showInputMessage="1" showErrorMessage="1" sqref="B7:B8" xr:uid="{82B312E6-9CF1-4F10-93EA-DF045E71056F}">
      <formula1>Class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3FFA2E4-E442-49C4-92EE-7954F0B109FF}">
          <x14:formula1>
            <xm:f>'TSD-Data'!$L$2:$L$130</xm:f>
          </x14:formula1>
          <xm:sqref>E7:E8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9DE3D-EB10-4E9D-B779-3906CC1B29D9}">
  <dimension ref="A1:Y15"/>
  <sheetViews>
    <sheetView workbookViewId="0">
      <selection sqref="A1:A1048576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425</v>
      </c>
    </row>
    <row r="3" spans="1:25" x14ac:dyDescent="0.25">
      <c r="A3" t="s">
        <v>426</v>
      </c>
      <c r="B3" t="s">
        <v>427</v>
      </c>
      <c r="C3" t="s">
        <v>41</v>
      </c>
      <c r="D3" t="s">
        <v>42</v>
      </c>
      <c r="E3" t="s">
        <v>428</v>
      </c>
      <c r="F3" t="s">
        <v>44</v>
      </c>
      <c r="G3" t="s">
        <v>45</v>
      </c>
      <c r="H3" t="s">
        <v>46</v>
      </c>
      <c r="I3" t="s">
        <v>429</v>
      </c>
      <c r="J3" t="s">
        <v>430</v>
      </c>
      <c r="K3" t="s">
        <v>56</v>
      </c>
      <c r="L3" t="s">
        <v>48</v>
      </c>
      <c r="M3" t="s">
        <v>431</v>
      </c>
      <c r="N3" t="s">
        <v>432</v>
      </c>
      <c r="O3" t="s">
        <v>433</v>
      </c>
      <c r="P3" t="s">
        <v>434</v>
      </c>
      <c r="Q3" t="s">
        <v>435</v>
      </c>
      <c r="R3" t="s">
        <v>436</v>
      </c>
      <c r="S3" t="s">
        <v>437</v>
      </c>
      <c r="T3" t="s">
        <v>438</v>
      </c>
      <c r="U3" t="s">
        <v>439</v>
      </c>
      <c r="V3" t="s">
        <v>440</v>
      </c>
      <c r="W3" t="s">
        <v>53</v>
      </c>
      <c r="X3" t="s">
        <v>441</v>
      </c>
      <c r="Y3" t="s">
        <v>442</v>
      </c>
    </row>
    <row r="4" spans="1:25" x14ac:dyDescent="0.25">
      <c r="A4" t="s">
        <v>443</v>
      </c>
      <c r="B4" t="s">
        <v>234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t="s">
        <v>444</v>
      </c>
      <c r="B5" t="s">
        <v>234</v>
      </c>
      <c r="C5">
        <v>2</v>
      </c>
      <c r="D5">
        <v>2</v>
      </c>
      <c r="E5">
        <v>2</v>
      </c>
      <c r="F5">
        <v>2</v>
      </c>
      <c r="G5">
        <v>2</v>
      </c>
      <c r="H5">
        <v>2</v>
      </c>
      <c r="I5">
        <v>4</v>
      </c>
      <c r="K5">
        <v>10</v>
      </c>
      <c r="P5">
        <v>1</v>
      </c>
      <c r="Q5">
        <v>1</v>
      </c>
      <c r="R5">
        <v>2</v>
      </c>
      <c r="S5">
        <v>3</v>
      </c>
      <c r="V5">
        <v>1</v>
      </c>
      <c r="Y5">
        <v>34</v>
      </c>
    </row>
    <row r="6" spans="1:25" x14ac:dyDescent="0.25">
      <c r="A6" t="s">
        <v>445</v>
      </c>
      <c r="B6" t="s">
        <v>234</v>
      </c>
      <c r="M6">
        <v>30</v>
      </c>
      <c r="Q6">
        <v>30</v>
      </c>
      <c r="S6">
        <v>30</v>
      </c>
      <c r="V6">
        <v>30</v>
      </c>
      <c r="Y6">
        <v>120</v>
      </c>
    </row>
    <row r="7" spans="1:25" x14ac:dyDescent="0.25">
      <c r="A7" t="s">
        <v>446</v>
      </c>
      <c r="B7" t="s">
        <v>234</v>
      </c>
      <c r="Y7">
        <v>0</v>
      </c>
    </row>
    <row r="8" spans="1:25" x14ac:dyDescent="0.25">
      <c r="A8" t="s">
        <v>447</v>
      </c>
      <c r="B8" t="s">
        <v>234</v>
      </c>
      <c r="Y8">
        <v>0</v>
      </c>
    </row>
    <row r="9" spans="1:25" x14ac:dyDescent="0.25">
      <c r="A9" t="s">
        <v>448</v>
      </c>
      <c r="B9" t="s">
        <v>234</v>
      </c>
      <c r="W9">
        <v>1</v>
      </c>
      <c r="Y9">
        <v>1</v>
      </c>
    </row>
    <row r="10" spans="1:25" x14ac:dyDescent="0.25">
      <c r="A10" t="s">
        <v>449</v>
      </c>
      <c r="B10" t="s">
        <v>234</v>
      </c>
      <c r="I10">
        <v>2</v>
      </c>
      <c r="Y10">
        <v>2</v>
      </c>
    </row>
    <row r="11" spans="1:25" x14ac:dyDescent="0.25">
      <c r="A11" t="s">
        <v>450</v>
      </c>
      <c r="B11" t="s">
        <v>234</v>
      </c>
      <c r="Y11">
        <v>0</v>
      </c>
    </row>
    <row r="12" spans="1:25" x14ac:dyDescent="0.25">
      <c r="A12" t="s">
        <v>451</v>
      </c>
      <c r="B12" t="s">
        <v>234</v>
      </c>
      <c r="Y12">
        <v>0</v>
      </c>
    </row>
    <row r="13" spans="1:25" x14ac:dyDescent="0.25">
      <c r="A13" t="s">
        <v>452</v>
      </c>
      <c r="B13" t="s">
        <v>234</v>
      </c>
      <c r="Y13">
        <v>0</v>
      </c>
    </row>
    <row r="14" spans="1:25" x14ac:dyDescent="0.25">
      <c r="A14" t="s">
        <v>453</v>
      </c>
      <c r="B14" t="s">
        <v>234</v>
      </c>
      <c r="Y14">
        <v>0</v>
      </c>
    </row>
    <row r="15" spans="1:25" x14ac:dyDescent="0.25">
      <c r="A15" t="s">
        <v>454</v>
      </c>
      <c r="B15" t="s">
        <v>234</v>
      </c>
      <c r="Y15">
        <v>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0669D-2ECC-463B-A7D6-8D15B7D81945}">
  <dimension ref="A1:Y15"/>
  <sheetViews>
    <sheetView workbookViewId="0">
      <selection activeCell="A7" sqref="A7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455</v>
      </c>
    </row>
    <row r="3" spans="1:25" x14ac:dyDescent="0.25">
      <c r="A3" t="s">
        <v>426</v>
      </c>
      <c r="B3" t="s">
        <v>427</v>
      </c>
      <c r="C3" t="s">
        <v>41</v>
      </c>
      <c r="D3" t="s">
        <v>42</v>
      </c>
      <c r="E3" t="s">
        <v>428</v>
      </c>
      <c r="F3" t="s">
        <v>44</v>
      </c>
      <c r="G3" t="s">
        <v>45</v>
      </c>
      <c r="H3" t="s">
        <v>46</v>
      </c>
      <c r="I3" t="s">
        <v>429</v>
      </c>
      <c r="J3" t="s">
        <v>430</v>
      </c>
      <c r="K3" t="s">
        <v>56</v>
      </c>
      <c r="L3" t="s">
        <v>48</v>
      </c>
      <c r="M3" t="s">
        <v>431</v>
      </c>
      <c r="N3" t="s">
        <v>432</v>
      </c>
      <c r="O3" t="s">
        <v>433</v>
      </c>
      <c r="P3" t="s">
        <v>434</v>
      </c>
      <c r="Q3" t="s">
        <v>435</v>
      </c>
      <c r="R3" t="s">
        <v>436</v>
      </c>
      <c r="S3" t="s">
        <v>437</v>
      </c>
      <c r="T3" t="s">
        <v>438</v>
      </c>
      <c r="U3" t="s">
        <v>439</v>
      </c>
      <c r="V3" t="s">
        <v>440</v>
      </c>
      <c r="W3" t="s">
        <v>53</v>
      </c>
      <c r="X3" t="s">
        <v>441</v>
      </c>
      <c r="Y3" t="s">
        <v>442</v>
      </c>
    </row>
    <row r="4" spans="1:25" x14ac:dyDescent="0.25">
      <c r="A4" t="s">
        <v>443</v>
      </c>
      <c r="B4" t="s">
        <v>239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t="s">
        <v>448</v>
      </c>
      <c r="B5" t="s">
        <v>239</v>
      </c>
      <c r="I5">
        <v>1</v>
      </c>
      <c r="U5">
        <v>1</v>
      </c>
      <c r="Y5">
        <v>2</v>
      </c>
    </row>
    <row r="6" spans="1:25" x14ac:dyDescent="0.25">
      <c r="A6" t="s">
        <v>449</v>
      </c>
      <c r="B6" t="s">
        <v>239</v>
      </c>
      <c r="I6">
        <v>2</v>
      </c>
      <c r="P6">
        <v>2</v>
      </c>
      <c r="Q6">
        <v>5</v>
      </c>
      <c r="Y6">
        <v>9</v>
      </c>
    </row>
    <row r="7" spans="1:25" x14ac:dyDescent="0.25">
      <c r="A7" t="s">
        <v>452</v>
      </c>
      <c r="B7" t="s">
        <v>239</v>
      </c>
      <c r="I7">
        <v>5</v>
      </c>
      <c r="W7">
        <v>20</v>
      </c>
      <c r="Y7">
        <v>25</v>
      </c>
    </row>
    <row r="8" spans="1:25" x14ac:dyDescent="0.25">
      <c r="A8" t="s">
        <v>444</v>
      </c>
      <c r="B8" t="s">
        <v>239</v>
      </c>
      <c r="C8">
        <v>2</v>
      </c>
      <c r="D8">
        <v>5</v>
      </c>
      <c r="E8">
        <v>1</v>
      </c>
      <c r="F8">
        <v>3</v>
      </c>
      <c r="G8">
        <v>2</v>
      </c>
      <c r="H8">
        <v>4</v>
      </c>
      <c r="I8">
        <v>11</v>
      </c>
      <c r="K8">
        <v>2</v>
      </c>
      <c r="O8">
        <v>1</v>
      </c>
      <c r="P8">
        <v>1</v>
      </c>
      <c r="Q8">
        <v>1</v>
      </c>
      <c r="R8">
        <v>7</v>
      </c>
      <c r="S8">
        <v>8</v>
      </c>
      <c r="V8">
        <v>3</v>
      </c>
      <c r="Y8">
        <v>51</v>
      </c>
    </row>
    <row r="9" spans="1:25" x14ac:dyDescent="0.25">
      <c r="A9" t="s">
        <v>445</v>
      </c>
      <c r="B9" t="s">
        <v>239</v>
      </c>
      <c r="M9">
        <v>20</v>
      </c>
      <c r="N9">
        <v>20</v>
      </c>
      <c r="P9">
        <v>20</v>
      </c>
      <c r="Q9">
        <v>20</v>
      </c>
      <c r="R9">
        <v>20</v>
      </c>
      <c r="S9">
        <v>20</v>
      </c>
      <c r="T9">
        <v>20</v>
      </c>
      <c r="V9">
        <v>20</v>
      </c>
      <c r="X9">
        <v>30</v>
      </c>
      <c r="Y9">
        <v>190</v>
      </c>
    </row>
    <row r="10" spans="1:25" x14ac:dyDescent="0.25">
      <c r="A10" t="s">
        <v>446</v>
      </c>
      <c r="B10" t="s">
        <v>239</v>
      </c>
      <c r="Y10">
        <v>0</v>
      </c>
    </row>
    <row r="11" spans="1:25" x14ac:dyDescent="0.25">
      <c r="A11" t="s">
        <v>447</v>
      </c>
      <c r="B11" t="s">
        <v>239</v>
      </c>
      <c r="Y11">
        <v>0</v>
      </c>
    </row>
    <row r="12" spans="1:25" x14ac:dyDescent="0.25">
      <c r="A12" t="s">
        <v>450</v>
      </c>
      <c r="B12" t="s">
        <v>239</v>
      </c>
      <c r="Y12">
        <v>0</v>
      </c>
    </row>
    <row r="13" spans="1:25" x14ac:dyDescent="0.25">
      <c r="A13" t="s">
        <v>451</v>
      </c>
      <c r="B13" t="s">
        <v>239</v>
      </c>
      <c r="Y13">
        <v>0</v>
      </c>
    </row>
    <row r="14" spans="1:25" x14ac:dyDescent="0.25">
      <c r="A14" t="s">
        <v>453</v>
      </c>
      <c r="B14" t="s">
        <v>239</v>
      </c>
      <c r="Y14">
        <v>0</v>
      </c>
    </row>
    <row r="15" spans="1:25" x14ac:dyDescent="0.25">
      <c r="A15" t="s">
        <v>454</v>
      </c>
      <c r="B15" t="s">
        <v>239</v>
      </c>
      <c r="Y15">
        <v>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4B784-AD2D-4C05-B0C6-AB39F370FAAF}">
  <dimension ref="A1:H16"/>
  <sheetViews>
    <sheetView workbookViewId="0"/>
  </sheetViews>
  <sheetFormatPr defaultRowHeight="15" x14ac:dyDescent="0.25"/>
  <cols>
    <col min="1" max="1" width="22.28515625" bestFit="1" customWidth="1"/>
    <col min="2" max="2" width="52.28515625" bestFit="1" customWidth="1"/>
    <col min="3" max="3" width="29.7109375" bestFit="1" customWidth="1"/>
    <col min="4" max="4" width="43.5703125" bestFit="1" customWidth="1"/>
    <col min="5" max="5" width="33.5703125" bestFit="1" customWidth="1"/>
    <col min="6" max="6" width="28.7109375" bestFit="1" customWidth="1"/>
    <col min="7" max="7" width="27" bestFit="1" customWidth="1"/>
    <col min="8" max="8" width="32.85546875" bestFit="1" customWidth="1"/>
  </cols>
  <sheetData>
    <row r="1" spans="1:8" x14ac:dyDescent="0.25">
      <c r="A1" s="7" t="s">
        <v>456</v>
      </c>
    </row>
    <row r="3" spans="1:8" x14ac:dyDescent="0.25">
      <c r="A3" t="s">
        <v>426</v>
      </c>
      <c r="B3" t="s">
        <v>457</v>
      </c>
      <c r="C3" t="s">
        <v>458</v>
      </c>
      <c r="D3" t="s">
        <v>459</v>
      </c>
      <c r="E3" t="s">
        <v>460</v>
      </c>
      <c r="F3" t="s">
        <v>461</v>
      </c>
      <c r="G3" t="s">
        <v>462</v>
      </c>
      <c r="H3" t="s">
        <v>463</v>
      </c>
    </row>
    <row r="4" spans="1:8" x14ac:dyDescent="0.25">
      <c r="A4" t="s">
        <v>464</v>
      </c>
      <c r="B4" t="s">
        <v>465</v>
      </c>
      <c r="C4">
        <v>0</v>
      </c>
      <c r="D4">
        <v>19</v>
      </c>
      <c r="E4">
        <v>40</v>
      </c>
      <c r="F4">
        <v>6</v>
      </c>
      <c r="G4">
        <v>9</v>
      </c>
      <c r="H4">
        <v>1</v>
      </c>
    </row>
    <row r="5" spans="1:8" x14ac:dyDescent="0.25">
      <c r="A5" t="s">
        <v>454</v>
      </c>
      <c r="B5" t="s">
        <v>465</v>
      </c>
      <c r="C5">
        <v>0</v>
      </c>
      <c r="D5">
        <v>6</v>
      </c>
      <c r="E5">
        <v>24</v>
      </c>
      <c r="F5">
        <v>3</v>
      </c>
      <c r="G5">
        <v>4</v>
      </c>
      <c r="H5">
        <v>4</v>
      </c>
    </row>
    <row r="6" spans="1:8" x14ac:dyDescent="0.25">
      <c r="A6" t="s">
        <v>444</v>
      </c>
      <c r="B6" t="s">
        <v>465</v>
      </c>
      <c r="C6">
        <v>3</v>
      </c>
      <c r="D6">
        <v>12</v>
      </c>
      <c r="E6">
        <v>50</v>
      </c>
      <c r="F6">
        <v>11</v>
      </c>
      <c r="G6">
        <v>17</v>
      </c>
      <c r="H6">
        <v>32</v>
      </c>
    </row>
    <row r="7" spans="1:8" x14ac:dyDescent="0.25">
      <c r="A7" t="s">
        <v>443</v>
      </c>
      <c r="B7" t="s">
        <v>465</v>
      </c>
      <c r="C7">
        <v>10</v>
      </c>
      <c r="D7">
        <v>10</v>
      </c>
      <c r="E7">
        <v>71</v>
      </c>
      <c r="F7">
        <v>0</v>
      </c>
      <c r="G7">
        <v>0</v>
      </c>
      <c r="H7">
        <v>0</v>
      </c>
    </row>
    <row r="8" spans="1:8" x14ac:dyDescent="0.25">
      <c r="A8" t="s">
        <v>445</v>
      </c>
      <c r="B8" t="s">
        <v>465</v>
      </c>
      <c r="E8">
        <v>10</v>
      </c>
    </row>
    <row r="9" spans="1:8" x14ac:dyDescent="0.25">
      <c r="A9" t="s">
        <v>446</v>
      </c>
      <c r="B9" t="s">
        <v>465</v>
      </c>
      <c r="E9">
        <v>28</v>
      </c>
      <c r="F9">
        <v>5</v>
      </c>
      <c r="G9">
        <v>17</v>
      </c>
      <c r="H9">
        <v>33</v>
      </c>
    </row>
    <row r="10" spans="1:8" x14ac:dyDescent="0.25">
      <c r="A10" t="s">
        <v>447</v>
      </c>
      <c r="B10" t="s">
        <v>465</v>
      </c>
      <c r="E10">
        <v>1</v>
      </c>
    </row>
    <row r="11" spans="1:8" x14ac:dyDescent="0.25">
      <c r="A11" t="s">
        <v>448</v>
      </c>
      <c r="B11" t="s">
        <v>465</v>
      </c>
      <c r="E11">
        <v>4</v>
      </c>
      <c r="H11">
        <v>3</v>
      </c>
    </row>
    <row r="12" spans="1:8" x14ac:dyDescent="0.25">
      <c r="A12" t="s">
        <v>449</v>
      </c>
      <c r="B12" t="s">
        <v>465</v>
      </c>
      <c r="D12">
        <v>2</v>
      </c>
      <c r="E12">
        <v>11</v>
      </c>
      <c r="F12">
        <v>1</v>
      </c>
    </row>
    <row r="13" spans="1:8" x14ac:dyDescent="0.25">
      <c r="A13" t="s">
        <v>450</v>
      </c>
      <c r="B13" t="s">
        <v>465</v>
      </c>
      <c r="D13">
        <v>3</v>
      </c>
      <c r="E13">
        <v>21</v>
      </c>
      <c r="F13">
        <v>30</v>
      </c>
      <c r="H13">
        <v>24</v>
      </c>
    </row>
    <row r="14" spans="1:8" x14ac:dyDescent="0.25">
      <c r="A14" t="s">
        <v>451</v>
      </c>
      <c r="B14" t="s">
        <v>465</v>
      </c>
      <c r="E14">
        <v>19</v>
      </c>
      <c r="H14">
        <v>2</v>
      </c>
    </row>
    <row r="15" spans="1:8" x14ac:dyDescent="0.25">
      <c r="A15" t="s">
        <v>452</v>
      </c>
      <c r="B15" t="s">
        <v>465</v>
      </c>
      <c r="E15">
        <v>1</v>
      </c>
      <c r="F15">
        <v>4</v>
      </c>
      <c r="H15">
        <v>12</v>
      </c>
    </row>
    <row r="16" spans="1:8" x14ac:dyDescent="0.25">
      <c r="A16" t="s">
        <v>453</v>
      </c>
      <c r="B16" t="s">
        <v>465</v>
      </c>
      <c r="D16">
        <v>1</v>
      </c>
      <c r="E16">
        <v>6</v>
      </c>
      <c r="F16">
        <v>3</v>
      </c>
      <c r="H16">
        <v>5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4C912-3E3D-4CF2-94A0-679216147277}">
  <sheetPr>
    <pageSetUpPr fitToPage="1"/>
  </sheetPr>
  <dimension ref="A1:AA479"/>
  <sheetViews>
    <sheetView zoomScale="90" zoomScaleNormal="90" workbookViewId="0">
      <selection activeCell="A3" sqref="A3"/>
    </sheetView>
  </sheetViews>
  <sheetFormatPr defaultColWidth="8.7109375" defaultRowHeight="15" x14ac:dyDescent="0.25"/>
  <cols>
    <col min="1" max="1" width="42.85546875" style="8" bestFit="1" customWidth="1"/>
    <col min="2" max="2" width="64.28515625" style="9" customWidth="1"/>
    <col min="3" max="3" width="14.28515625" style="2" customWidth="1"/>
    <col min="4" max="4" width="16.28515625" style="11" customWidth="1"/>
    <col min="5" max="5" width="21.7109375" style="9" hidden="1" customWidth="1"/>
    <col min="6" max="6" width="17" style="10" bestFit="1" customWidth="1"/>
    <col min="7" max="7" width="15.7109375" style="10" bestFit="1" customWidth="1"/>
    <col min="8" max="8" width="9.85546875" style="33" hidden="1" customWidth="1"/>
    <col min="9" max="9" width="9.7109375" style="33" customWidth="1"/>
    <col min="10" max="14" width="9.7109375" style="33" hidden="1" customWidth="1"/>
    <col min="15" max="15" width="20" style="9" bestFit="1" customWidth="1"/>
    <col min="16" max="16" width="18.42578125" style="9" hidden="1" customWidth="1"/>
    <col min="17" max="17" width="20.28515625" style="8" customWidth="1"/>
    <col min="18" max="18" width="22.42578125" style="8" customWidth="1"/>
    <col min="19" max="19" width="20.28515625" style="12" hidden="1" customWidth="1"/>
    <col min="20" max="20" width="16" style="32" hidden="1" customWidth="1"/>
    <col min="21" max="21" width="12.28515625" style="32" hidden="1" customWidth="1"/>
    <col min="22" max="22" width="16.42578125" style="32" hidden="1" customWidth="1"/>
    <col min="23" max="23" width="15.85546875" style="32" hidden="1" customWidth="1"/>
    <col min="24" max="24" width="16.5703125" style="8" hidden="1" customWidth="1"/>
    <col min="25" max="25" width="16" style="32" hidden="1" customWidth="1"/>
    <col min="26" max="27" width="11" style="8" hidden="1" customWidth="1"/>
    <col min="28" max="16384" width="8.7109375" style="8"/>
  </cols>
  <sheetData>
    <row r="1" spans="1:27" x14ac:dyDescent="0.25">
      <c r="A1" s="8" t="s">
        <v>466</v>
      </c>
      <c r="B1" s="8"/>
      <c r="H1" s="10"/>
      <c r="I1" s="10"/>
      <c r="J1" s="10"/>
      <c r="K1" s="10"/>
      <c r="L1" s="10"/>
      <c r="M1" s="10"/>
      <c r="N1" s="10"/>
    </row>
    <row r="2" spans="1:27" ht="8.4499999999999993" customHeight="1" x14ac:dyDescent="0.25">
      <c r="A2" s="9"/>
    </row>
    <row r="3" spans="1:27" s="30" customFormat="1" ht="72" customHeight="1" thickBot="1" x14ac:dyDescent="0.3">
      <c r="A3" s="26" t="s">
        <v>467</v>
      </c>
      <c r="B3" s="26" t="s">
        <v>188</v>
      </c>
      <c r="C3" s="26" t="s">
        <v>73</v>
      </c>
      <c r="D3" s="110" t="s">
        <v>189</v>
      </c>
      <c r="E3" s="26" t="s">
        <v>156</v>
      </c>
      <c r="F3" s="27" t="s">
        <v>190</v>
      </c>
      <c r="G3" s="27" t="s">
        <v>191</v>
      </c>
      <c r="H3" s="61" t="s">
        <v>192</v>
      </c>
      <c r="I3" s="61" t="s">
        <v>193</v>
      </c>
      <c r="J3" s="61" t="s">
        <v>194</v>
      </c>
      <c r="K3" s="61" t="s">
        <v>195</v>
      </c>
      <c r="L3" s="61" t="s">
        <v>196</v>
      </c>
      <c r="M3" s="61" t="s">
        <v>197</v>
      </c>
      <c r="N3" s="61" t="s">
        <v>198</v>
      </c>
      <c r="O3" s="26" t="s">
        <v>199</v>
      </c>
      <c r="P3" s="26" t="s">
        <v>200</v>
      </c>
      <c r="Q3" s="29" t="s">
        <v>201</v>
      </c>
      <c r="R3" s="29" t="s">
        <v>203</v>
      </c>
      <c r="S3" s="28" t="s">
        <v>207</v>
      </c>
      <c r="T3" s="28" t="s">
        <v>208</v>
      </c>
      <c r="U3" s="28" t="s">
        <v>13</v>
      </c>
      <c r="V3" s="28" t="s">
        <v>14</v>
      </c>
      <c r="W3" s="28" t="s">
        <v>209</v>
      </c>
      <c r="X3" s="28" t="s">
        <v>210</v>
      </c>
      <c r="Y3" s="28" t="s">
        <v>211</v>
      </c>
      <c r="Z3" s="28" t="s">
        <v>212</v>
      </c>
      <c r="AA3" s="28" t="s">
        <v>213</v>
      </c>
    </row>
    <row r="4" spans="1:27" s="93" customFormat="1" x14ac:dyDescent="0.25">
      <c r="A4" s="86"/>
      <c r="B4" s="220" t="s">
        <v>15</v>
      </c>
      <c r="C4" s="87" t="s">
        <v>87</v>
      </c>
      <c r="D4" s="87" t="s">
        <v>88</v>
      </c>
      <c r="E4" s="86"/>
      <c r="F4" s="89">
        <v>45600</v>
      </c>
      <c r="G4" s="89">
        <v>45604</v>
      </c>
      <c r="H4" s="92"/>
      <c r="I4" s="92">
        <v>0.54166666666666663</v>
      </c>
      <c r="J4" s="89"/>
      <c r="K4" s="89"/>
      <c r="L4" s="89"/>
      <c r="M4" s="89"/>
      <c r="N4" s="89"/>
      <c r="O4" s="86" t="s">
        <v>229</v>
      </c>
      <c r="P4" s="86"/>
      <c r="Q4" s="90">
        <v>45</v>
      </c>
      <c r="R4" s="221">
        <v>5</v>
      </c>
      <c r="S4" s="90"/>
      <c r="T4" s="90"/>
      <c r="U4" s="14"/>
      <c r="V4" s="14"/>
      <c r="W4" s="14"/>
      <c r="X4" s="86"/>
      <c r="Y4" s="59">
        <f ca="1">Table210[[#This Row],[End Date]]+2-TODAY()</f>
        <v>-212</v>
      </c>
      <c r="Z4" s="14">
        <f>IF(ISBLANK(Table210[[#This Row],[Roster Received By]]),1,0)</f>
        <v>1</v>
      </c>
      <c r="AA4" s="14">
        <f ca="1">IF(Table210[[#This Row],[Start Date]]&gt;TODAY(),1,)</f>
        <v>0</v>
      </c>
    </row>
    <row r="5" spans="1:27" s="93" customFormat="1" x14ac:dyDescent="0.25">
      <c r="A5" s="52"/>
      <c r="B5" s="220" t="s">
        <v>15</v>
      </c>
      <c r="C5" s="87" t="s">
        <v>87</v>
      </c>
      <c r="D5" s="87" t="s">
        <v>88</v>
      </c>
      <c r="E5" s="86"/>
      <c r="F5" s="89">
        <v>45635</v>
      </c>
      <c r="G5" s="89">
        <v>45639</v>
      </c>
      <c r="H5" s="95"/>
      <c r="I5" s="92">
        <v>0.33333333333333331</v>
      </c>
      <c r="J5" s="89"/>
      <c r="K5" s="89"/>
      <c r="L5" s="89"/>
      <c r="M5" s="89"/>
      <c r="N5" s="89"/>
      <c r="O5" s="86" t="s">
        <v>229</v>
      </c>
      <c r="P5" s="86"/>
      <c r="Q5" s="90">
        <v>45</v>
      </c>
      <c r="R5" s="221">
        <v>5</v>
      </c>
      <c r="S5" s="90"/>
      <c r="T5" s="90"/>
      <c r="U5" s="14"/>
      <c r="V5" s="14"/>
      <c r="W5" s="14"/>
      <c r="X5" s="86"/>
      <c r="Y5" s="59">
        <f ca="1">Table210[[#This Row],[End Date]]+2-TODAY()</f>
        <v>-177</v>
      </c>
      <c r="Z5" s="14">
        <f>IF(ISBLANK(Table210[[#This Row],[Roster Received By]]),1,0)</f>
        <v>1</v>
      </c>
      <c r="AA5" s="14">
        <f ca="1">IF(Table210[[#This Row],[Start Date]]&gt;TODAY(),1,)</f>
        <v>0</v>
      </c>
    </row>
    <row r="6" spans="1:27" s="93" customFormat="1" x14ac:dyDescent="0.25">
      <c r="A6" s="52"/>
      <c r="B6" s="220" t="s">
        <v>15</v>
      </c>
      <c r="C6" s="87" t="s">
        <v>87</v>
      </c>
      <c r="D6" s="87" t="s">
        <v>88</v>
      </c>
      <c r="E6" s="86"/>
      <c r="F6" s="89">
        <v>45670</v>
      </c>
      <c r="G6" s="89">
        <v>45674</v>
      </c>
      <c r="H6" s="95"/>
      <c r="I6" s="92">
        <v>0.54166666666666663</v>
      </c>
      <c r="J6" s="89"/>
      <c r="K6" s="89"/>
      <c r="L6" s="89"/>
      <c r="M6" s="89"/>
      <c r="N6" s="89"/>
      <c r="O6" s="86" t="s">
        <v>229</v>
      </c>
      <c r="P6" s="86"/>
      <c r="Q6" s="90">
        <v>45</v>
      </c>
      <c r="R6" s="221">
        <v>5</v>
      </c>
      <c r="S6" s="90"/>
      <c r="T6" s="90"/>
      <c r="U6" s="14"/>
      <c r="V6" s="14"/>
      <c r="W6" s="14"/>
      <c r="X6" s="86"/>
      <c r="Y6" s="59">
        <f ca="1">Table210[[#This Row],[End Date]]+2-TODAY()</f>
        <v>-142</v>
      </c>
      <c r="Z6" s="14">
        <f>IF(ISBLANK(Table210[[#This Row],[Roster Received By]]),1,0)</f>
        <v>1</v>
      </c>
      <c r="AA6" s="14">
        <f ca="1">IF(Table210[[#This Row],[Start Date]]&gt;TODAY(),1,)</f>
        <v>0</v>
      </c>
    </row>
    <row r="7" spans="1:27" s="93" customFormat="1" x14ac:dyDescent="0.25">
      <c r="A7" s="52"/>
      <c r="B7" s="220" t="s">
        <v>15</v>
      </c>
      <c r="C7" s="87" t="s">
        <v>87</v>
      </c>
      <c r="D7" s="87" t="s">
        <v>88</v>
      </c>
      <c r="E7" s="86"/>
      <c r="F7" s="89">
        <v>45698</v>
      </c>
      <c r="G7" s="89">
        <v>45702</v>
      </c>
      <c r="H7" s="95"/>
      <c r="I7" s="95">
        <v>0.33333333333333331</v>
      </c>
      <c r="J7" s="89"/>
      <c r="K7" s="89"/>
      <c r="L7" s="89"/>
      <c r="M7" s="89"/>
      <c r="N7" s="89"/>
      <c r="O7" s="86" t="s">
        <v>229</v>
      </c>
      <c r="P7" s="86"/>
      <c r="Q7" s="90">
        <v>45</v>
      </c>
      <c r="R7" s="221">
        <v>5</v>
      </c>
      <c r="S7" s="90"/>
      <c r="T7" s="90"/>
      <c r="U7" s="14"/>
      <c r="V7" s="14"/>
      <c r="W7" s="14"/>
      <c r="X7" s="86"/>
      <c r="Y7" s="59">
        <f ca="1">Table210[[#This Row],[End Date]]+2-TODAY()</f>
        <v>-114</v>
      </c>
      <c r="Z7" s="14">
        <f>IF(ISBLANK(Table210[[#This Row],[Roster Received By]]),1,0)</f>
        <v>1</v>
      </c>
      <c r="AA7" s="14">
        <f ca="1">IF(Table210[[#This Row],[Start Date]]&gt;TODAY(),1,)</f>
        <v>0</v>
      </c>
    </row>
    <row r="8" spans="1:27" s="93" customFormat="1" x14ac:dyDescent="0.25">
      <c r="A8" s="52"/>
      <c r="B8" s="220" t="s">
        <v>15</v>
      </c>
      <c r="C8" s="87" t="s">
        <v>87</v>
      </c>
      <c r="D8" s="87" t="s">
        <v>88</v>
      </c>
      <c r="E8" s="86"/>
      <c r="F8" s="89">
        <v>45789</v>
      </c>
      <c r="G8" s="89">
        <v>45793</v>
      </c>
      <c r="H8" s="92"/>
      <c r="I8" s="92">
        <v>0.54166666666666663</v>
      </c>
      <c r="J8" s="89"/>
      <c r="K8" s="89"/>
      <c r="L8" s="89"/>
      <c r="M8" s="89"/>
      <c r="N8" s="89"/>
      <c r="O8" s="86" t="s">
        <v>229</v>
      </c>
      <c r="P8" s="86"/>
      <c r="Q8" s="90">
        <v>45</v>
      </c>
      <c r="R8" s="221">
        <v>5</v>
      </c>
      <c r="S8" s="90"/>
      <c r="T8" s="90"/>
      <c r="U8" s="14"/>
      <c r="V8" s="14"/>
      <c r="W8" s="14"/>
      <c r="X8" s="86"/>
      <c r="Y8" s="59">
        <f ca="1">Table210[[#This Row],[End Date]]+2-TODAY()</f>
        <v>-23</v>
      </c>
      <c r="Z8" s="14">
        <f>IF(ISBLANK(Table210[[#This Row],[Roster Received By]]),1,0)</f>
        <v>1</v>
      </c>
      <c r="AA8" s="14">
        <f ca="1">IF(Table210[[#This Row],[Start Date]]&gt;TODAY(),1,)</f>
        <v>0</v>
      </c>
    </row>
    <row r="9" spans="1:27" s="93" customFormat="1" x14ac:dyDescent="0.25">
      <c r="A9" s="52"/>
      <c r="B9" s="220" t="s">
        <v>15</v>
      </c>
      <c r="C9" s="87" t="s">
        <v>87</v>
      </c>
      <c r="D9" s="87" t="s">
        <v>88</v>
      </c>
      <c r="E9" s="86"/>
      <c r="F9" s="89">
        <v>45831</v>
      </c>
      <c r="G9" s="89">
        <v>45835</v>
      </c>
      <c r="H9" s="95"/>
      <c r="I9" s="95">
        <v>0.33333333333333331</v>
      </c>
      <c r="J9" s="89"/>
      <c r="K9" s="89"/>
      <c r="L9" s="89"/>
      <c r="M9" s="89"/>
      <c r="N9" s="89"/>
      <c r="O9" s="86" t="s">
        <v>229</v>
      </c>
      <c r="P9" s="86"/>
      <c r="Q9" s="90">
        <v>45</v>
      </c>
      <c r="R9" s="221">
        <v>5</v>
      </c>
      <c r="S9" s="90"/>
      <c r="T9" s="90"/>
      <c r="U9" s="14"/>
      <c r="V9" s="14"/>
      <c r="W9" s="14"/>
      <c r="X9" s="86"/>
      <c r="Y9" s="59">
        <f ca="1">Table210[[#This Row],[End Date]]+2-TODAY()</f>
        <v>19</v>
      </c>
      <c r="Z9" s="14">
        <f>IF(ISBLANK(Table210[[#This Row],[Roster Received By]]),1,0)</f>
        <v>1</v>
      </c>
      <c r="AA9" s="14">
        <f ca="1">IF(Table210[[#This Row],[Start Date]]&gt;TODAY(),1,)</f>
        <v>1</v>
      </c>
    </row>
    <row r="10" spans="1:27" s="93" customFormat="1" x14ac:dyDescent="0.25">
      <c r="A10" s="52"/>
      <c r="B10" s="220" t="s">
        <v>15</v>
      </c>
      <c r="C10" s="87" t="s">
        <v>87</v>
      </c>
      <c r="D10" s="87" t="s">
        <v>88</v>
      </c>
      <c r="E10" s="86"/>
      <c r="F10" s="89">
        <v>45859</v>
      </c>
      <c r="G10" s="89">
        <v>45863</v>
      </c>
      <c r="H10" s="95"/>
      <c r="I10" s="95">
        <v>0.33333333333333331</v>
      </c>
      <c r="J10" s="89"/>
      <c r="K10" s="89"/>
      <c r="L10" s="89"/>
      <c r="M10" s="89"/>
      <c r="N10" s="89"/>
      <c r="O10" s="86" t="s">
        <v>229</v>
      </c>
      <c r="P10" s="86"/>
      <c r="Q10" s="90">
        <v>45</v>
      </c>
      <c r="R10" s="221">
        <v>5</v>
      </c>
      <c r="S10" s="90"/>
      <c r="T10" s="90"/>
      <c r="U10" s="14"/>
      <c r="V10" s="14"/>
      <c r="W10" s="87"/>
      <c r="X10" s="86"/>
      <c r="Y10" s="59">
        <f ca="1">Table210[[#This Row],[End Date]]+2-TODAY()</f>
        <v>47</v>
      </c>
      <c r="Z10" s="14">
        <f>IF(ISBLANK(Table210[[#This Row],[Roster Received By]]),1,0)</f>
        <v>1</v>
      </c>
      <c r="AA10" s="14">
        <f ca="1">IF(Table210[[#This Row],[Start Date]]&gt;TODAY(),1,)</f>
        <v>1</v>
      </c>
    </row>
    <row r="11" spans="1:27" s="93" customFormat="1" x14ac:dyDescent="0.25">
      <c r="A11" s="52"/>
      <c r="B11" s="220" t="s">
        <v>15</v>
      </c>
      <c r="C11" s="87" t="s">
        <v>87</v>
      </c>
      <c r="D11" s="87" t="s">
        <v>88</v>
      </c>
      <c r="E11" s="86"/>
      <c r="F11" s="89">
        <v>45873</v>
      </c>
      <c r="G11" s="89">
        <v>45877</v>
      </c>
      <c r="H11" s="95"/>
      <c r="I11" s="95">
        <v>0.54166666666666663</v>
      </c>
      <c r="J11" s="89"/>
      <c r="K11" s="89"/>
      <c r="L11" s="89"/>
      <c r="M11" s="89"/>
      <c r="N11" s="89"/>
      <c r="O11" s="86" t="s">
        <v>229</v>
      </c>
      <c r="P11" s="86"/>
      <c r="Q11" s="90">
        <v>45</v>
      </c>
      <c r="R11" s="221">
        <v>5</v>
      </c>
      <c r="S11" s="90"/>
      <c r="T11" s="90"/>
      <c r="U11" s="14"/>
      <c r="V11" s="14"/>
      <c r="W11" s="87"/>
      <c r="X11" s="86"/>
      <c r="Y11" s="59">
        <f ca="1">Table210[[#This Row],[End Date]]+2-TODAY()</f>
        <v>61</v>
      </c>
      <c r="Z11" s="14">
        <f>IF(ISBLANK(Table210[[#This Row],[Roster Received By]]),1,0)</f>
        <v>1</v>
      </c>
      <c r="AA11" s="14">
        <f ca="1">IF(Table210[[#This Row],[Start Date]]&gt;TODAY(),1,)</f>
        <v>1</v>
      </c>
    </row>
    <row r="12" spans="1:27" s="93" customFormat="1" x14ac:dyDescent="0.25">
      <c r="A12" s="52"/>
      <c r="B12" s="86" t="s">
        <v>37</v>
      </c>
      <c r="C12" s="87" t="s">
        <v>101</v>
      </c>
      <c r="D12" s="87" t="s">
        <v>102</v>
      </c>
      <c r="E12" s="86"/>
      <c r="F12" s="89">
        <v>45613</v>
      </c>
      <c r="G12" s="89">
        <v>45617</v>
      </c>
      <c r="H12" s="92"/>
      <c r="I12" s="92">
        <v>0.79166666666666663</v>
      </c>
      <c r="J12" s="89"/>
      <c r="K12" s="89"/>
      <c r="L12" s="89"/>
      <c r="M12" s="89"/>
      <c r="N12" s="89"/>
      <c r="O12" s="86" t="s">
        <v>468</v>
      </c>
      <c r="P12" s="86"/>
      <c r="Q12" s="90">
        <v>45</v>
      </c>
      <c r="R12" s="221">
        <v>5</v>
      </c>
      <c r="S12" s="90"/>
      <c r="T12" s="90"/>
      <c r="U12" s="14"/>
      <c r="V12" s="14"/>
      <c r="W12" s="87"/>
      <c r="X12" s="86"/>
      <c r="Y12" s="59">
        <f ca="1">Table210[[#This Row],[End Date]]+2-TODAY()</f>
        <v>-199</v>
      </c>
      <c r="Z12" s="14">
        <f>IF(ISBLANK(Table210[[#This Row],[Roster Received By]]),1,0)</f>
        <v>1</v>
      </c>
      <c r="AA12" s="14">
        <f ca="1">IF(Table210[[#This Row],[Start Date]]&gt;TODAY(),1,)</f>
        <v>0</v>
      </c>
    </row>
    <row r="13" spans="1:27" s="93" customFormat="1" x14ac:dyDescent="0.25">
      <c r="A13" s="52"/>
      <c r="B13" s="86" t="s">
        <v>37</v>
      </c>
      <c r="C13" s="87" t="s">
        <v>101</v>
      </c>
      <c r="D13" s="87" t="s">
        <v>102</v>
      </c>
      <c r="E13" s="86"/>
      <c r="F13" s="89">
        <v>45635</v>
      </c>
      <c r="G13" s="89">
        <v>45639</v>
      </c>
      <c r="H13" s="95"/>
      <c r="I13" s="92">
        <v>0.33333333333333331</v>
      </c>
      <c r="J13" s="89"/>
      <c r="K13" s="89"/>
      <c r="L13" s="89"/>
      <c r="M13" s="89"/>
      <c r="N13" s="89"/>
      <c r="O13" s="86" t="s">
        <v>468</v>
      </c>
      <c r="P13" s="86"/>
      <c r="Q13" s="90">
        <v>45</v>
      </c>
      <c r="R13" s="221">
        <v>5</v>
      </c>
      <c r="S13" s="90"/>
      <c r="T13" s="90"/>
      <c r="U13" s="14"/>
      <c r="V13" s="14"/>
      <c r="W13" s="14"/>
      <c r="X13" s="86"/>
      <c r="Y13" s="59">
        <f ca="1">Table210[[#This Row],[End Date]]+2-TODAY()</f>
        <v>-177</v>
      </c>
      <c r="Z13" s="14">
        <f>IF(ISBLANK(Table210[[#This Row],[Roster Received By]]),1,0)</f>
        <v>1</v>
      </c>
      <c r="AA13" s="14">
        <f ca="1">IF(Table210[[#This Row],[Start Date]]&gt;TODAY(),1,)</f>
        <v>0</v>
      </c>
    </row>
    <row r="14" spans="1:27" s="93" customFormat="1" x14ac:dyDescent="0.25">
      <c r="A14" s="52"/>
      <c r="B14" s="86" t="s">
        <v>37</v>
      </c>
      <c r="C14" s="87" t="s">
        <v>101</v>
      </c>
      <c r="D14" s="87" t="s">
        <v>102</v>
      </c>
      <c r="E14" s="86"/>
      <c r="F14" s="89">
        <v>45670</v>
      </c>
      <c r="G14" s="89">
        <v>45674</v>
      </c>
      <c r="H14" s="95"/>
      <c r="I14" s="92">
        <v>0.54166666666666663</v>
      </c>
      <c r="J14" s="89"/>
      <c r="K14" s="89"/>
      <c r="L14" s="89"/>
      <c r="M14" s="89"/>
      <c r="N14" s="89"/>
      <c r="O14" s="86" t="s">
        <v>468</v>
      </c>
      <c r="P14" s="86"/>
      <c r="Q14" s="90">
        <v>45</v>
      </c>
      <c r="R14" s="221">
        <v>5</v>
      </c>
      <c r="S14" s="90"/>
      <c r="T14" s="90"/>
      <c r="U14" s="14"/>
      <c r="V14" s="14"/>
      <c r="W14" s="14"/>
      <c r="X14" s="86"/>
      <c r="Y14" s="59">
        <f ca="1">Table210[[#This Row],[End Date]]+2-TODAY()</f>
        <v>-142</v>
      </c>
      <c r="Z14" s="14">
        <f>IF(ISBLANK(Table210[[#This Row],[Roster Received By]]),1,0)</f>
        <v>1</v>
      </c>
      <c r="AA14" s="14">
        <f ca="1">IF(Table210[[#This Row],[Start Date]]&gt;TODAY(),1,)</f>
        <v>0</v>
      </c>
    </row>
    <row r="15" spans="1:27" s="93" customFormat="1" x14ac:dyDescent="0.25">
      <c r="A15" s="52"/>
      <c r="B15" s="86" t="s">
        <v>37</v>
      </c>
      <c r="C15" s="87" t="s">
        <v>101</v>
      </c>
      <c r="D15" s="87" t="s">
        <v>102</v>
      </c>
      <c r="E15" s="86"/>
      <c r="F15" s="89">
        <v>45691</v>
      </c>
      <c r="G15" s="89">
        <v>45695</v>
      </c>
      <c r="H15" s="95"/>
      <c r="I15" s="95">
        <v>0.33333333333333331</v>
      </c>
      <c r="J15" s="89"/>
      <c r="K15" s="89"/>
      <c r="L15" s="89"/>
      <c r="M15" s="89"/>
      <c r="N15" s="89"/>
      <c r="O15" s="86" t="s">
        <v>468</v>
      </c>
      <c r="P15" s="86"/>
      <c r="Q15" s="90">
        <v>45</v>
      </c>
      <c r="R15" s="221">
        <v>5</v>
      </c>
      <c r="S15" s="90"/>
      <c r="T15" s="90"/>
      <c r="U15" s="14"/>
      <c r="V15" s="14"/>
      <c r="W15" s="14"/>
      <c r="X15" s="86"/>
      <c r="Y15" s="59">
        <f ca="1">Table210[[#This Row],[End Date]]+2-TODAY()</f>
        <v>-121</v>
      </c>
      <c r="Z15" s="14">
        <f>IF(ISBLANK(Table210[[#This Row],[Roster Received By]]),1,0)</f>
        <v>1</v>
      </c>
      <c r="AA15" s="14">
        <f ca="1">IF(Table210[[#This Row],[Start Date]]&gt;TODAY(),1,)</f>
        <v>0</v>
      </c>
    </row>
    <row r="16" spans="1:27" s="93" customFormat="1" x14ac:dyDescent="0.25">
      <c r="A16" s="52"/>
      <c r="B16" s="86" t="s">
        <v>37</v>
      </c>
      <c r="C16" s="87" t="s">
        <v>101</v>
      </c>
      <c r="D16" s="87" t="s">
        <v>102</v>
      </c>
      <c r="E16" s="86"/>
      <c r="F16" s="89">
        <v>45739</v>
      </c>
      <c r="G16" s="89">
        <v>45743</v>
      </c>
      <c r="H16" s="92"/>
      <c r="I16" s="92">
        <v>0.79166666666666663</v>
      </c>
      <c r="J16" s="89"/>
      <c r="K16" s="89"/>
      <c r="L16" s="89"/>
      <c r="M16" s="89"/>
      <c r="N16" s="89"/>
      <c r="O16" s="86" t="s">
        <v>468</v>
      </c>
      <c r="P16" s="86"/>
      <c r="Q16" s="90">
        <v>45</v>
      </c>
      <c r="R16" s="221">
        <v>5</v>
      </c>
      <c r="S16" s="90"/>
      <c r="T16" s="90"/>
      <c r="U16" s="14"/>
      <c r="V16" s="14"/>
      <c r="W16" s="14"/>
      <c r="X16" s="86"/>
      <c r="Y16" s="59">
        <f ca="1">Table210[[#This Row],[End Date]]+2-TODAY()</f>
        <v>-73</v>
      </c>
      <c r="Z16" s="14">
        <f>IF(ISBLANK(Table210[[#This Row],[Roster Received By]]),1,0)</f>
        <v>1</v>
      </c>
      <c r="AA16" s="14">
        <f ca="1">IF(Table210[[#This Row],[Start Date]]&gt;TODAY(),1,)</f>
        <v>0</v>
      </c>
    </row>
    <row r="17" spans="1:27" s="93" customFormat="1" x14ac:dyDescent="0.25">
      <c r="A17" s="52"/>
      <c r="B17" s="86" t="s">
        <v>37</v>
      </c>
      <c r="C17" s="87" t="s">
        <v>101</v>
      </c>
      <c r="D17" s="87" t="s">
        <v>102</v>
      </c>
      <c r="E17" s="86"/>
      <c r="F17" s="89">
        <v>45775</v>
      </c>
      <c r="G17" s="89">
        <v>45779</v>
      </c>
      <c r="H17" s="92"/>
      <c r="I17" s="92">
        <v>0.54166666666666663</v>
      </c>
      <c r="J17" s="89"/>
      <c r="K17" s="89"/>
      <c r="L17" s="89"/>
      <c r="M17" s="89"/>
      <c r="N17" s="89"/>
      <c r="O17" s="86" t="s">
        <v>468</v>
      </c>
      <c r="P17" s="86"/>
      <c r="Q17" s="90">
        <v>45</v>
      </c>
      <c r="R17" s="221">
        <v>5</v>
      </c>
      <c r="S17" s="90"/>
      <c r="T17" s="90"/>
      <c r="U17" s="14"/>
      <c r="V17" s="14"/>
      <c r="W17" s="14"/>
      <c r="X17" s="86"/>
      <c r="Y17" s="59">
        <f ca="1">Table210[[#This Row],[End Date]]+2-TODAY()</f>
        <v>-37</v>
      </c>
      <c r="Z17" s="14">
        <f>IF(ISBLANK(Table210[[#This Row],[Roster Received By]]),1,0)</f>
        <v>1</v>
      </c>
      <c r="AA17" s="14">
        <f ca="1">IF(Table210[[#This Row],[Start Date]]&gt;TODAY(),1,)</f>
        <v>0</v>
      </c>
    </row>
    <row r="18" spans="1:27" s="93" customFormat="1" x14ac:dyDescent="0.25">
      <c r="A18" s="52"/>
      <c r="B18" s="86" t="s">
        <v>37</v>
      </c>
      <c r="C18" s="87" t="s">
        <v>101</v>
      </c>
      <c r="D18" s="87" t="s">
        <v>102</v>
      </c>
      <c r="E18" s="86"/>
      <c r="F18" s="89">
        <v>45796</v>
      </c>
      <c r="G18" s="89">
        <v>45800</v>
      </c>
      <c r="H18" s="92"/>
      <c r="I18" s="92">
        <v>0.33333333333333331</v>
      </c>
      <c r="J18" s="89"/>
      <c r="K18" s="89"/>
      <c r="L18" s="89"/>
      <c r="M18" s="89"/>
      <c r="N18" s="89"/>
      <c r="O18" s="86" t="s">
        <v>468</v>
      </c>
      <c r="P18" s="86"/>
      <c r="Q18" s="90">
        <v>45</v>
      </c>
      <c r="R18" s="221">
        <v>5</v>
      </c>
      <c r="S18" s="90"/>
      <c r="T18" s="90"/>
      <c r="U18" s="14"/>
      <c r="V18" s="14"/>
      <c r="W18" s="14"/>
      <c r="X18" s="86"/>
      <c r="Y18" s="59">
        <f ca="1">Table210[[#This Row],[End Date]]+2-TODAY()</f>
        <v>-16</v>
      </c>
      <c r="Z18" s="14">
        <f>IF(ISBLANK(Table210[[#This Row],[Roster Received By]]),1,0)</f>
        <v>1</v>
      </c>
      <c r="AA18" s="14">
        <f ca="1">IF(Table210[[#This Row],[Start Date]]&gt;TODAY(),1,)</f>
        <v>0</v>
      </c>
    </row>
    <row r="19" spans="1:27" s="122" customFormat="1" x14ac:dyDescent="0.25">
      <c r="A19" s="52"/>
      <c r="B19" s="86" t="s">
        <v>37</v>
      </c>
      <c r="C19" s="87" t="s">
        <v>101</v>
      </c>
      <c r="D19" s="87" t="s">
        <v>102</v>
      </c>
      <c r="E19" s="86"/>
      <c r="F19" s="89">
        <v>45830</v>
      </c>
      <c r="G19" s="89">
        <v>45834</v>
      </c>
      <c r="H19" s="95"/>
      <c r="I19" s="95">
        <v>0.79166666666666663</v>
      </c>
      <c r="J19" s="89"/>
      <c r="K19" s="89"/>
      <c r="L19" s="89"/>
      <c r="M19" s="89"/>
      <c r="N19" s="89"/>
      <c r="O19" s="86" t="s">
        <v>468</v>
      </c>
      <c r="P19" s="86"/>
      <c r="Q19" s="90">
        <v>45</v>
      </c>
      <c r="R19" s="221">
        <v>5</v>
      </c>
      <c r="S19" s="90"/>
      <c r="T19" s="90"/>
      <c r="U19" s="14"/>
      <c r="V19" s="14"/>
      <c r="W19" s="14"/>
      <c r="X19" s="86"/>
      <c r="Y19" s="59">
        <f ca="1">Table210[[#This Row],[End Date]]+2-TODAY()</f>
        <v>18</v>
      </c>
      <c r="Z19" s="14">
        <f>IF(ISBLANK(Table210[[#This Row],[Roster Received By]]),1,0)</f>
        <v>1</v>
      </c>
      <c r="AA19" s="14">
        <f ca="1">IF(Table210[[#This Row],[Start Date]]&gt;TODAY(),1,)</f>
        <v>1</v>
      </c>
    </row>
    <row r="20" spans="1:27" s="122" customFormat="1" x14ac:dyDescent="0.25">
      <c r="A20" s="52"/>
      <c r="B20" s="86" t="s">
        <v>37</v>
      </c>
      <c r="C20" s="87" t="s">
        <v>101</v>
      </c>
      <c r="D20" s="87" t="s">
        <v>102</v>
      </c>
      <c r="E20" s="86"/>
      <c r="F20" s="89">
        <v>45852</v>
      </c>
      <c r="G20" s="89">
        <v>45856</v>
      </c>
      <c r="H20" s="95"/>
      <c r="I20" s="95">
        <v>0.54166666666666663</v>
      </c>
      <c r="J20" s="89"/>
      <c r="K20" s="89"/>
      <c r="L20" s="89"/>
      <c r="M20" s="89"/>
      <c r="N20" s="89"/>
      <c r="O20" s="86" t="s">
        <v>468</v>
      </c>
      <c r="P20" s="86"/>
      <c r="Q20" s="90">
        <v>45</v>
      </c>
      <c r="R20" s="221">
        <v>5</v>
      </c>
      <c r="S20" s="90"/>
      <c r="T20" s="90"/>
      <c r="U20" s="14"/>
      <c r="V20" s="14"/>
      <c r="W20" s="87"/>
      <c r="X20" s="86"/>
      <c r="Y20" s="59">
        <f ca="1">Table210[[#This Row],[End Date]]+2-TODAY()</f>
        <v>40</v>
      </c>
      <c r="Z20" s="14">
        <f>IF(ISBLANK(Table210[[#This Row],[Roster Received By]]),1,0)</f>
        <v>1</v>
      </c>
      <c r="AA20" s="14">
        <f ca="1">IF(Table210[[#This Row],[Start Date]]&gt;TODAY(),1,)</f>
        <v>1</v>
      </c>
    </row>
    <row r="21" spans="1:27" s="122" customFormat="1" x14ac:dyDescent="0.25">
      <c r="A21" s="52"/>
      <c r="B21" s="86" t="s">
        <v>37</v>
      </c>
      <c r="C21" s="87" t="s">
        <v>101</v>
      </c>
      <c r="D21" s="87" t="s">
        <v>102</v>
      </c>
      <c r="E21" s="86"/>
      <c r="F21" s="89">
        <v>45880</v>
      </c>
      <c r="G21" s="89">
        <v>45884</v>
      </c>
      <c r="H21" s="95"/>
      <c r="I21" s="95">
        <v>0.33333333333333331</v>
      </c>
      <c r="J21" s="89"/>
      <c r="K21" s="89"/>
      <c r="L21" s="89"/>
      <c r="M21" s="89"/>
      <c r="N21" s="89"/>
      <c r="O21" s="86" t="s">
        <v>468</v>
      </c>
      <c r="P21" s="86"/>
      <c r="Q21" s="90">
        <v>45</v>
      </c>
      <c r="R21" s="221">
        <v>5</v>
      </c>
      <c r="S21" s="90"/>
      <c r="T21" s="90"/>
      <c r="U21" s="14"/>
      <c r="V21" s="14"/>
      <c r="W21" s="87"/>
      <c r="X21" s="86"/>
      <c r="Y21" s="59">
        <f ca="1">Table210[[#This Row],[End Date]]+2-TODAY()</f>
        <v>68</v>
      </c>
      <c r="Z21" s="14">
        <f>IF(ISBLANK(Table210[[#This Row],[Roster Received By]]),1,0)</f>
        <v>1</v>
      </c>
      <c r="AA21" s="14">
        <f ca="1">IF(Table210[[#This Row],[Start Date]]&gt;TODAY(),1,)</f>
        <v>1</v>
      </c>
    </row>
    <row r="22" spans="1:27" s="122" customFormat="1" x14ac:dyDescent="0.25">
      <c r="A22" s="52"/>
      <c r="B22" s="86" t="s">
        <v>37</v>
      </c>
      <c r="C22" s="87" t="s">
        <v>101</v>
      </c>
      <c r="D22" s="87" t="s">
        <v>102</v>
      </c>
      <c r="E22" s="86"/>
      <c r="F22" s="89">
        <v>45921</v>
      </c>
      <c r="G22" s="89">
        <v>45925</v>
      </c>
      <c r="H22" s="89"/>
      <c r="I22" s="88">
        <v>0.79166666666666663</v>
      </c>
      <c r="J22" s="92"/>
      <c r="K22" s="92"/>
      <c r="L22" s="92"/>
      <c r="M22" s="92"/>
      <c r="N22" s="92"/>
      <c r="O22" s="86" t="s">
        <v>468</v>
      </c>
      <c r="P22" s="86"/>
      <c r="Q22" s="14">
        <v>45</v>
      </c>
      <c r="R22" s="199">
        <v>5</v>
      </c>
      <c r="S22" s="14"/>
      <c r="T22" s="90"/>
      <c r="U22" s="14"/>
      <c r="V22" s="14"/>
      <c r="W22" s="87"/>
      <c r="X22" s="86"/>
      <c r="Y22" s="59">
        <f ca="1">Table210[[#This Row],[End Date]]+2-TODAY()</f>
        <v>109</v>
      </c>
      <c r="Z22" s="14">
        <f>IF(ISBLANK(Table210[[#This Row],[Roster Received By]]),1,0)</f>
        <v>1</v>
      </c>
      <c r="AA22" s="14">
        <f ca="1">IF(Table210[[#This Row],[Start Date]]&gt;TODAY(),1,)</f>
        <v>1</v>
      </c>
    </row>
    <row r="23" spans="1:27" s="122" customFormat="1" x14ac:dyDescent="0.25">
      <c r="A23" s="138" t="s">
        <v>469</v>
      </c>
      <c r="B23" s="139" t="s">
        <v>358</v>
      </c>
      <c r="C23" s="141" t="s">
        <v>359</v>
      </c>
      <c r="D23" s="141" t="s">
        <v>359</v>
      </c>
      <c r="E23" s="139" t="s">
        <v>169</v>
      </c>
      <c r="F23" s="142">
        <v>45576</v>
      </c>
      <c r="G23" s="142">
        <v>45576</v>
      </c>
      <c r="H23" s="142"/>
      <c r="I23" s="143"/>
      <c r="J23" s="145"/>
      <c r="K23" s="145"/>
      <c r="L23" s="145"/>
      <c r="M23" s="145"/>
      <c r="N23" s="145"/>
      <c r="O23" s="139"/>
      <c r="P23" s="139"/>
      <c r="Q23" s="144">
        <v>0</v>
      </c>
      <c r="R23" s="144">
        <v>0</v>
      </c>
      <c r="S23" s="14"/>
      <c r="T23" s="90"/>
      <c r="U23" s="14"/>
      <c r="V23" s="14"/>
      <c r="W23" s="14"/>
      <c r="X23" s="86"/>
      <c r="Y23" s="59">
        <f ca="1">Table210[[#This Row],[End Date]]+2-TODAY()</f>
        <v>-240</v>
      </c>
      <c r="Z23" s="14">
        <f>IF(ISBLANK(Table210[[#This Row],[Roster Received By]]),1,0)</f>
        <v>1</v>
      </c>
      <c r="AA23" s="14">
        <f ca="1">IF(Table210[[#This Row],[Start Date]]&gt;TODAY(),1,)</f>
        <v>0</v>
      </c>
    </row>
    <row r="24" spans="1:27" s="122" customFormat="1" x14ac:dyDescent="0.25">
      <c r="A24" s="138" t="s">
        <v>470</v>
      </c>
      <c r="B24" s="139" t="s">
        <v>358</v>
      </c>
      <c r="C24" s="141" t="s">
        <v>359</v>
      </c>
      <c r="D24" s="141" t="s">
        <v>359</v>
      </c>
      <c r="E24" s="139" t="s">
        <v>169</v>
      </c>
      <c r="F24" s="142">
        <v>45621</v>
      </c>
      <c r="G24" s="142">
        <v>45621</v>
      </c>
      <c r="H24" s="145"/>
      <c r="I24" s="145"/>
      <c r="J24" s="142"/>
      <c r="K24" s="142"/>
      <c r="L24" s="142"/>
      <c r="M24" s="142"/>
      <c r="N24" s="142"/>
      <c r="O24" s="139"/>
      <c r="P24" s="139"/>
      <c r="Q24" s="144">
        <v>0</v>
      </c>
      <c r="R24" s="144">
        <v>0</v>
      </c>
      <c r="S24" s="144"/>
      <c r="T24" s="169"/>
      <c r="U24" s="144"/>
      <c r="V24" s="144"/>
      <c r="W24" s="141"/>
      <c r="X24" s="139"/>
      <c r="Y24" s="170">
        <f ca="1">Table210[[#This Row],[End Date]]+2-TODAY()</f>
        <v>-195</v>
      </c>
      <c r="Z24" s="144">
        <f>IF(ISBLANK(Table210[[#This Row],[Roster Received By]]),1,0)</f>
        <v>1</v>
      </c>
      <c r="AA24" s="144">
        <f ca="1">IF(Table210[[#This Row],[Start Date]]&gt;TODAY(),1,)</f>
        <v>0</v>
      </c>
    </row>
    <row r="25" spans="1:27" s="122" customFormat="1" x14ac:dyDescent="0.25">
      <c r="A25" s="138" t="s">
        <v>471</v>
      </c>
      <c r="B25" s="139" t="s">
        <v>358</v>
      </c>
      <c r="C25" s="141" t="s">
        <v>359</v>
      </c>
      <c r="D25" s="141" t="s">
        <v>359</v>
      </c>
      <c r="E25" s="139" t="s">
        <v>169</v>
      </c>
      <c r="F25" s="142">
        <v>45642</v>
      </c>
      <c r="G25" s="142">
        <v>45642</v>
      </c>
      <c r="H25" s="142"/>
      <c r="I25" s="143"/>
      <c r="J25" s="145"/>
      <c r="K25" s="145"/>
      <c r="L25" s="145"/>
      <c r="M25" s="145"/>
      <c r="N25" s="145"/>
      <c r="O25" s="139"/>
      <c r="P25" s="139"/>
      <c r="Q25" s="144">
        <v>0</v>
      </c>
      <c r="R25" s="144">
        <v>0</v>
      </c>
      <c r="S25" s="144"/>
      <c r="T25" s="169"/>
      <c r="U25" s="144"/>
      <c r="V25" s="144"/>
      <c r="W25" s="144"/>
      <c r="X25" s="139"/>
      <c r="Y25" s="170">
        <f ca="1">Table210[[#This Row],[End Date]]+2-TODAY()</f>
        <v>-174</v>
      </c>
      <c r="Z25" s="144">
        <f>IF(ISBLANK(Table210[[#This Row],[Roster Received By]]),1,0)</f>
        <v>1</v>
      </c>
      <c r="AA25" s="144">
        <f ca="1">IF(Table210[[#This Row],[Start Date]]&gt;TODAY(),1,)</f>
        <v>0</v>
      </c>
    </row>
    <row r="26" spans="1:27" s="122" customFormat="1" x14ac:dyDescent="0.25">
      <c r="A26" s="138" t="s">
        <v>472</v>
      </c>
      <c r="B26" s="139" t="s">
        <v>358</v>
      </c>
      <c r="C26" s="141" t="s">
        <v>359</v>
      </c>
      <c r="D26" s="141" t="s">
        <v>359</v>
      </c>
      <c r="E26" s="139" t="s">
        <v>169</v>
      </c>
      <c r="F26" s="142">
        <v>45688</v>
      </c>
      <c r="G26" s="142">
        <v>45688</v>
      </c>
      <c r="H26" s="171"/>
      <c r="I26" s="171"/>
      <c r="J26" s="142"/>
      <c r="K26" s="142"/>
      <c r="L26" s="142"/>
      <c r="M26" s="142"/>
      <c r="N26" s="142"/>
      <c r="O26" s="139"/>
      <c r="P26" s="139"/>
      <c r="Q26" s="144">
        <v>0</v>
      </c>
      <c r="R26" s="144">
        <v>0</v>
      </c>
      <c r="S26" s="144"/>
      <c r="T26" s="169"/>
      <c r="U26" s="144"/>
      <c r="V26" s="144"/>
      <c r="W26" s="144"/>
      <c r="X26" s="139"/>
      <c r="Y26" s="170">
        <f ca="1">Table210[[#This Row],[End Date]]+2-TODAY()</f>
        <v>-128</v>
      </c>
      <c r="Z26" s="144">
        <f>IF(ISBLANK(Table210[[#This Row],[Roster Received By]]),1,0)</f>
        <v>1</v>
      </c>
      <c r="AA26" s="144">
        <f ca="1">IF(Table210[[#This Row],[Start Date]]&gt;TODAY(),1,)</f>
        <v>0</v>
      </c>
    </row>
    <row r="27" spans="1:27" s="93" customFormat="1" ht="14.25" customHeight="1" x14ac:dyDescent="0.25">
      <c r="A27" s="138" t="s">
        <v>473</v>
      </c>
      <c r="B27" s="139" t="s">
        <v>358</v>
      </c>
      <c r="C27" s="141" t="s">
        <v>359</v>
      </c>
      <c r="D27" s="141" t="s">
        <v>359</v>
      </c>
      <c r="E27" s="139" t="s">
        <v>169</v>
      </c>
      <c r="F27" s="142">
        <v>45758</v>
      </c>
      <c r="G27" s="142">
        <v>45758</v>
      </c>
      <c r="H27" s="142"/>
      <c r="I27" s="143"/>
      <c r="J27" s="145"/>
      <c r="K27" s="145"/>
      <c r="L27" s="145"/>
      <c r="M27" s="145"/>
      <c r="N27" s="145"/>
      <c r="O27" s="139"/>
      <c r="P27" s="139"/>
      <c r="Q27" s="144">
        <v>0</v>
      </c>
      <c r="R27" s="144">
        <v>0</v>
      </c>
      <c r="S27" s="144"/>
      <c r="T27" s="169"/>
      <c r="U27" s="144"/>
      <c r="V27" s="144"/>
      <c r="W27" s="144"/>
      <c r="X27" s="139"/>
      <c r="Y27" s="170">
        <f ca="1">Table210[[#This Row],[End Date]]+2-TODAY()</f>
        <v>-58</v>
      </c>
      <c r="Z27" s="144">
        <f>IF(ISBLANK(Table210[[#This Row],[Roster Received By]]),1,0)</f>
        <v>1</v>
      </c>
      <c r="AA27" s="144">
        <f ca="1">IF(Table210[[#This Row],[Start Date]]&gt;TODAY(),1,)</f>
        <v>0</v>
      </c>
    </row>
    <row r="28" spans="1:27" s="93" customFormat="1" ht="14.25" customHeight="1" x14ac:dyDescent="0.25">
      <c r="A28" s="138" t="s">
        <v>474</v>
      </c>
      <c r="B28" s="139" t="s">
        <v>358</v>
      </c>
      <c r="C28" s="141" t="s">
        <v>359</v>
      </c>
      <c r="D28" s="141" t="s">
        <v>359</v>
      </c>
      <c r="E28" s="139" t="s">
        <v>169</v>
      </c>
      <c r="F28" s="142">
        <v>45839</v>
      </c>
      <c r="G28" s="142">
        <v>45839</v>
      </c>
      <c r="H28" s="145"/>
      <c r="I28" s="145"/>
      <c r="J28" s="145"/>
      <c r="K28" s="145"/>
      <c r="L28" s="145"/>
      <c r="M28" s="145"/>
      <c r="N28" s="145"/>
      <c r="O28" s="139"/>
      <c r="P28" s="139"/>
      <c r="Q28" s="144">
        <v>0</v>
      </c>
      <c r="R28" s="144">
        <v>0</v>
      </c>
      <c r="S28" s="169"/>
      <c r="T28" s="169"/>
      <c r="U28" s="144"/>
      <c r="V28" s="144"/>
      <c r="W28" s="144"/>
      <c r="X28" s="139"/>
      <c r="Y28" s="170">
        <f ca="1">Table210[[#This Row],[End Date]]+2-TODAY()</f>
        <v>23</v>
      </c>
      <c r="Z28" s="144">
        <f>IF(ISBLANK(Table210[[#This Row],[Roster Received By]]),1,0)</f>
        <v>1</v>
      </c>
      <c r="AA28" s="144">
        <f ca="1">IF(Table210[[#This Row],[Start Date]]&gt;TODAY(),1,)</f>
        <v>1</v>
      </c>
    </row>
    <row r="29" spans="1:27" s="122" customFormat="1" x14ac:dyDescent="0.25">
      <c r="A29" s="138" t="s">
        <v>475</v>
      </c>
      <c r="B29" s="139" t="s">
        <v>358</v>
      </c>
      <c r="C29" s="141" t="s">
        <v>359</v>
      </c>
      <c r="D29" s="141" t="s">
        <v>359</v>
      </c>
      <c r="E29" s="139" t="s">
        <v>169</v>
      </c>
      <c r="F29" s="142">
        <v>45884</v>
      </c>
      <c r="G29" s="142">
        <v>45884</v>
      </c>
      <c r="H29" s="142"/>
      <c r="I29" s="143"/>
      <c r="J29" s="145"/>
      <c r="K29" s="145"/>
      <c r="L29" s="145"/>
      <c r="M29" s="145"/>
      <c r="N29" s="145"/>
      <c r="O29" s="139"/>
      <c r="P29" s="139"/>
      <c r="Q29" s="144">
        <v>0</v>
      </c>
      <c r="R29" s="144">
        <v>0</v>
      </c>
      <c r="S29" s="144"/>
      <c r="T29" s="169"/>
      <c r="U29" s="144"/>
      <c r="V29" s="144"/>
      <c r="W29" s="144"/>
      <c r="X29" s="139"/>
      <c r="Y29" s="170">
        <f ca="1">Table210[[#This Row],[End Date]]+2-TODAY()</f>
        <v>68</v>
      </c>
      <c r="Z29" s="144">
        <f>IF(ISBLANK(Table210[[#This Row],[Roster Received By]]),1,0)</f>
        <v>1</v>
      </c>
      <c r="AA29" s="144">
        <f ca="1">IF(Table210[[#This Row],[Start Date]]&gt;TODAY(),1,)</f>
        <v>1</v>
      </c>
    </row>
    <row r="30" spans="1:27" s="122" customFormat="1" x14ac:dyDescent="0.25">
      <c r="A30" s="87"/>
      <c r="B30" s="86" t="s">
        <v>120</v>
      </c>
      <c r="C30" s="87" t="s">
        <v>121</v>
      </c>
      <c r="D30" s="87" t="s">
        <v>122</v>
      </c>
      <c r="E30" s="86"/>
      <c r="F30" s="89">
        <v>45565</v>
      </c>
      <c r="G30" s="89">
        <v>45569</v>
      </c>
      <c r="H30" s="92"/>
      <c r="I30" s="92">
        <v>0.54166666666666663</v>
      </c>
      <c r="J30" s="89"/>
      <c r="K30" s="89"/>
      <c r="L30" s="89"/>
      <c r="M30" s="89"/>
      <c r="N30" s="89"/>
      <c r="O30" s="86" t="s">
        <v>244</v>
      </c>
      <c r="P30" s="86"/>
      <c r="Q30" s="201">
        <v>45</v>
      </c>
      <c r="R30" s="221">
        <v>5</v>
      </c>
      <c r="S30" s="201"/>
      <c r="T30" s="201"/>
      <c r="U30" s="94"/>
      <c r="V30" s="94"/>
      <c r="W30" s="94"/>
      <c r="X30" s="94"/>
      <c r="Y30" s="222">
        <f ca="1">Table210[[#This Row],[End Date]]+2-TODAY()</f>
        <v>-247</v>
      </c>
      <c r="Z30" s="87">
        <f>IF(ISBLANK(Table210[[#This Row],[Roster Received By]]),1,0)</f>
        <v>1</v>
      </c>
      <c r="AA30" s="87">
        <f ca="1">IF(Table210[[#This Row],[Start Date]]&gt;TODAY(),1,)</f>
        <v>0</v>
      </c>
    </row>
    <row r="31" spans="1:27" s="122" customFormat="1" x14ac:dyDescent="0.25">
      <c r="A31" s="86"/>
      <c r="B31" s="86" t="s">
        <v>120</v>
      </c>
      <c r="C31" s="87" t="s">
        <v>121</v>
      </c>
      <c r="D31" s="87" t="s">
        <v>122</v>
      </c>
      <c r="E31" s="86"/>
      <c r="F31" s="89">
        <v>45586</v>
      </c>
      <c r="G31" s="89">
        <v>45590</v>
      </c>
      <c r="H31" s="92"/>
      <c r="I31" s="92">
        <v>0.33333333333333331</v>
      </c>
      <c r="J31" s="89"/>
      <c r="K31" s="89"/>
      <c r="L31" s="89"/>
      <c r="M31" s="89"/>
      <c r="N31" s="89"/>
      <c r="O31" s="86" t="s">
        <v>244</v>
      </c>
      <c r="P31" s="86"/>
      <c r="Q31" s="90">
        <v>45</v>
      </c>
      <c r="R31" s="221">
        <v>5</v>
      </c>
      <c r="S31" s="90"/>
      <c r="T31" s="90"/>
      <c r="U31" s="14"/>
      <c r="V31" s="14"/>
      <c r="W31" s="14"/>
      <c r="X31" s="86"/>
      <c r="Y31" s="59">
        <f ca="1">Table210[[#This Row],[End Date]]+2-TODAY()</f>
        <v>-226</v>
      </c>
      <c r="Z31" s="14">
        <f>IF(ISBLANK(Table210[[#This Row],[Roster Received By]]),1,0)</f>
        <v>1</v>
      </c>
      <c r="AA31" s="14">
        <f ca="1">IF(Table210[[#This Row],[Start Date]]&gt;TODAY(),1,)</f>
        <v>0</v>
      </c>
    </row>
    <row r="32" spans="1:27" s="122" customFormat="1" x14ac:dyDescent="0.25">
      <c r="A32" s="86"/>
      <c r="B32" s="86" t="s">
        <v>120</v>
      </c>
      <c r="C32" s="87" t="s">
        <v>121</v>
      </c>
      <c r="D32" s="87" t="s">
        <v>122</v>
      </c>
      <c r="E32" s="86"/>
      <c r="F32" s="89">
        <v>45599</v>
      </c>
      <c r="G32" s="89">
        <v>45603</v>
      </c>
      <c r="H32" s="92"/>
      <c r="I32" s="92">
        <v>0.79166666666666663</v>
      </c>
      <c r="J32" s="89"/>
      <c r="K32" s="89"/>
      <c r="L32" s="89"/>
      <c r="M32" s="89"/>
      <c r="N32" s="89"/>
      <c r="O32" s="86" t="s">
        <v>244</v>
      </c>
      <c r="P32" s="86"/>
      <c r="Q32" s="90">
        <v>45</v>
      </c>
      <c r="R32" s="221">
        <v>5</v>
      </c>
      <c r="S32" s="90"/>
      <c r="T32" s="90"/>
      <c r="U32" s="14"/>
      <c r="V32" s="14"/>
      <c r="W32" s="14"/>
      <c r="X32" s="86"/>
      <c r="Y32" s="59">
        <f ca="1">Table210[[#This Row],[End Date]]+2-TODAY()</f>
        <v>-213</v>
      </c>
      <c r="Z32" s="14">
        <f>IF(ISBLANK(Table210[[#This Row],[Roster Received By]]),1,0)</f>
        <v>1</v>
      </c>
      <c r="AA32" s="14">
        <f ca="1">IF(Table210[[#This Row],[Start Date]]&gt;TODAY(),1,)</f>
        <v>0</v>
      </c>
    </row>
    <row r="33" spans="1:27" s="123" customFormat="1" ht="13.5" customHeight="1" x14ac:dyDescent="0.25">
      <c r="A33" s="52"/>
      <c r="B33" s="86" t="s">
        <v>120</v>
      </c>
      <c r="C33" s="87" t="s">
        <v>121</v>
      </c>
      <c r="D33" s="87" t="s">
        <v>122</v>
      </c>
      <c r="E33" s="86"/>
      <c r="F33" s="89">
        <v>45628</v>
      </c>
      <c r="G33" s="89">
        <v>45632</v>
      </c>
      <c r="H33" s="95"/>
      <c r="I33" s="92">
        <v>0.54166666666666663</v>
      </c>
      <c r="J33" s="89"/>
      <c r="K33" s="89"/>
      <c r="L33" s="89"/>
      <c r="M33" s="89"/>
      <c r="N33" s="89"/>
      <c r="O33" s="86" t="s">
        <v>244</v>
      </c>
      <c r="P33" s="86"/>
      <c r="Q33" s="90">
        <v>45</v>
      </c>
      <c r="R33" s="221">
        <v>5</v>
      </c>
      <c r="S33" s="90"/>
      <c r="T33" s="90"/>
      <c r="U33" s="14"/>
      <c r="V33" s="14"/>
      <c r="W33" s="14"/>
      <c r="X33" s="86"/>
      <c r="Y33" s="59">
        <f ca="1">Table210[[#This Row],[End Date]]+2-TODAY()</f>
        <v>-184</v>
      </c>
      <c r="Z33" s="14">
        <f>IF(ISBLANK(Table210[[#This Row],[Roster Received By]]),1,0)</f>
        <v>1</v>
      </c>
      <c r="AA33" s="14">
        <f ca="1">IF(Table210[[#This Row],[Start Date]]&gt;TODAY(),1,)</f>
        <v>0</v>
      </c>
    </row>
    <row r="34" spans="1:27" s="93" customFormat="1" ht="14.25" customHeight="1" x14ac:dyDescent="0.25">
      <c r="A34" s="52"/>
      <c r="B34" s="86" t="s">
        <v>120</v>
      </c>
      <c r="C34" s="87" t="s">
        <v>121</v>
      </c>
      <c r="D34" s="87" t="s">
        <v>122</v>
      </c>
      <c r="E34" s="86"/>
      <c r="F34" s="89">
        <v>45663</v>
      </c>
      <c r="G34" s="89">
        <v>45667</v>
      </c>
      <c r="H34" s="95"/>
      <c r="I34" s="92">
        <v>0.54166666666666663</v>
      </c>
      <c r="J34" s="89"/>
      <c r="K34" s="89"/>
      <c r="L34" s="89"/>
      <c r="M34" s="89"/>
      <c r="N34" s="89"/>
      <c r="O34" s="86" t="s">
        <v>476</v>
      </c>
      <c r="P34" s="86"/>
      <c r="Q34" s="90">
        <v>45</v>
      </c>
      <c r="R34" s="221">
        <v>5</v>
      </c>
      <c r="S34" s="90"/>
      <c r="T34" s="90"/>
      <c r="U34" s="14"/>
      <c r="V34" s="14"/>
      <c r="W34" s="14"/>
      <c r="X34" s="86"/>
      <c r="Y34" s="59">
        <f ca="1">Table210[[#This Row],[End Date]]+2-TODAY()</f>
        <v>-149</v>
      </c>
      <c r="Z34" s="14">
        <f>IF(ISBLANK(Table210[[#This Row],[Roster Received By]]),1,0)</f>
        <v>1</v>
      </c>
      <c r="AA34" s="14">
        <f ca="1">IF(Table210[[#This Row],[Start Date]]&gt;TODAY(),1,)</f>
        <v>0</v>
      </c>
    </row>
    <row r="35" spans="1:27" s="93" customFormat="1" x14ac:dyDescent="0.25">
      <c r="A35" s="52"/>
      <c r="B35" s="86" t="s">
        <v>120</v>
      </c>
      <c r="C35" s="87" t="s">
        <v>121</v>
      </c>
      <c r="D35" s="87" t="s">
        <v>122</v>
      </c>
      <c r="E35" s="86"/>
      <c r="F35" s="89">
        <v>45684</v>
      </c>
      <c r="G35" s="89">
        <v>45688</v>
      </c>
      <c r="H35" s="95"/>
      <c r="I35" s="92">
        <v>0.54166666666666663</v>
      </c>
      <c r="J35" s="89"/>
      <c r="K35" s="89"/>
      <c r="L35" s="89"/>
      <c r="M35" s="89"/>
      <c r="N35" s="89"/>
      <c r="O35" s="86" t="s">
        <v>476</v>
      </c>
      <c r="P35" s="86"/>
      <c r="Q35" s="90">
        <v>45</v>
      </c>
      <c r="R35" s="221">
        <v>5</v>
      </c>
      <c r="S35" s="90"/>
      <c r="T35" s="90"/>
      <c r="U35" s="14"/>
      <c r="V35" s="14"/>
      <c r="W35" s="14"/>
      <c r="X35" s="86"/>
      <c r="Y35" s="59">
        <f ca="1">Table210[[#This Row],[End Date]]+2-TODAY()</f>
        <v>-128</v>
      </c>
      <c r="Z35" s="14">
        <f>IF(ISBLANK(Table210[[#This Row],[Roster Received By]]),1,0)</f>
        <v>1</v>
      </c>
      <c r="AA35" s="14">
        <f ca="1">IF(Table210[[#This Row],[Start Date]]&gt;TODAY(),1,)</f>
        <v>0</v>
      </c>
    </row>
    <row r="36" spans="1:27" s="122" customFormat="1" x14ac:dyDescent="0.25">
      <c r="A36" s="52"/>
      <c r="B36" s="86" t="s">
        <v>120</v>
      </c>
      <c r="C36" s="87" t="s">
        <v>121</v>
      </c>
      <c r="D36" s="87" t="s">
        <v>122</v>
      </c>
      <c r="E36" s="86"/>
      <c r="F36" s="89">
        <v>45698</v>
      </c>
      <c r="G36" s="89">
        <v>45702</v>
      </c>
      <c r="H36" s="95"/>
      <c r="I36" s="95">
        <v>0.33333333333333331</v>
      </c>
      <c r="J36" s="89"/>
      <c r="K36" s="89"/>
      <c r="L36" s="89"/>
      <c r="M36" s="89"/>
      <c r="N36" s="89"/>
      <c r="O36" s="86" t="s">
        <v>476</v>
      </c>
      <c r="P36" s="86"/>
      <c r="Q36" s="90">
        <v>45</v>
      </c>
      <c r="R36" s="221">
        <v>5</v>
      </c>
      <c r="S36" s="90"/>
      <c r="T36" s="90"/>
      <c r="U36" s="14"/>
      <c r="V36" s="14"/>
      <c r="W36" s="14"/>
      <c r="X36" s="86"/>
      <c r="Y36" s="59">
        <f ca="1">Table210[[#This Row],[End Date]]+2-TODAY()</f>
        <v>-114</v>
      </c>
      <c r="Z36" s="14">
        <f>IF(ISBLANK(Table210[[#This Row],[Roster Received By]]),1,0)</f>
        <v>1</v>
      </c>
      <c r="AA36" s="14">
        <f ca="1">IF(Table210[[#This Row],[Start Date]]&gt;TODAY(),1,)</f>
        <v>0</v>
      </c>
    </row>
    <row r="37" spans="1:27" s="123" customFormat="1" ht="14.25" customHeight="1" x14ac:dyDescent="0.25">
      <c r="A37" s="52"/>
      <c r="B37" s="86" t="s">
        <v>120</v>
      </c>
      <c r="C37" s="87" t="s">
        <v>121</v>
      </c>
      <c r="D37" s="87" t="s">
        <v>122</v>
      </c>
      <c r="E37" s="86"/>
      <c r="F37" s="89">
        <v>45711</v>
      </c>
      <c r="G37" s="89">
        <v>45715</v>
      </c>
      <c r="H37" s="92"/>
      <c r="I37" s="92">
        <v>0.79166666666666663</v>
      </c>
      <c r="J37" s="89"/>
      <c r="K37" s="89"/>
      <c r="L37" s="89"/>
      <c r="M37" s="89"/>
      <c r="N37" s="89"/>
      <c r="O37" s="86" t="s">
        <v>476</v>
      </c>
      <c r="P37" s="86"/>
      <c r="Q37" s="90">
        <v>45</v>
      </c>
      <c r="R37" s="221">
        <v>5</v>
      </c>
      <c r="S37" s="90"/>
      <c r="T37" s="90"/>
      <c r="U37" s="14"/>
      <c r="V37" s="14"/>
      <c r="W37" s="14"/>
      <c r="X37" s="86"/>
      <c r="Y37" s="59">
        <f ca="1">Table210[[#This Row],[End Date]]+2-TODAY()</f>
        <v>-101</v>
      </c>
      <c r="Z37" s="14">
        <f>IF(ISBLANK(Table210[[#This Row],[Roster Received By]]),1,0)</f>
        <v>1</v>
      </c>
      <c r="AA37" s="14">
        <f ca="1">IF(Table210[[#This Row],[Start Date]]&gt;TODAY(),1,)</f>
        <v>0</v>
      </c>
    </row>
    <row r="38" spans="1:27" s="93" customFormat="1" ht="14.25" customHeight="1" x14ac:dyDescent="0.25">
      <c r="A38" s="52"/>
      <c r="B38" s="86" t="s">
        <v>120</v>
      </c>
      <c r="C38" s="87" t="s">
        <v>121</v>
      </c>
      <c r="D38" s="87" t="s">
        <v>122</v>
      </c>
      <c r="E38" s="86"/>
      <c r="F38" s="89">
        <v>45726</v>
      </c>
      <c r="G38" s="89">
        <v>45730</v>
      </c>
      <c r="H38" s="92"/>
      <c r="I38" s="92">
        <v>0.54166666666666663</v>
      </c>
      <c r="J38" s="89"/>
      <c r="K38" s="89"/>
      <c r="L38" s="89"/>
      <c r="M38" s="89"/>
      <c r="N38" s="89"/>
      <c r="O38" s="86" t="s">
        <v>476</v>
      </c>
      <c r="P38" s="86"/>
      <c r="Q38" s="90">
        <v>45</v>
      </c>
      <c r="R38" s="221">
        <v>5</v>
      </c>
      <c r="S38" s="90"/>
      <c r="T38" s="90"/>
      <c r="U38" s="14"/>
      <c r="V38" s="14"/>
      <c r="W38" s="14"/>
      <c r="X38" s="86"/>
      <c r="Y38" s="59">
        <f ca="1">Table210[[#This Row],[End Date]]+2-TODAY()</f>
        <v>-86</v>
      </c>
      <c r="Z38" s="14">
        <f>IF(ISBLANK(Table210[[#This Row],[Roster Received By]]),1,0)</f>
        <v>1</v>
      </c>
      <c r="AA38" s="14">
        <f ca="1">IF(Table210[[#This Row],[Start Date]]&gt;TODAY(),1,)</f>
        <v>0</v>
      </c>
    </row>
    <row r="39" spans="1:27" s="93" customFormat="1" ht="14.25" customHeight="1" x14ac:dyDescent="0.25">
      <c r="A39" s="52"/>
      <c r="B39" s="86" t="s">
        <v>120</v>
      </c>
      <c r="C39" s="87" t="s">
        <v>121</v>
      </c>
      <c r="D39" s="87" t="s">
        <v>122</v>
      </c>
      <c r="E39" s="86"/>
      <c r="F39" s="89">
        <v>45754</v>
      </c>
      <c r="G39" s="89">
        <v>45758</v>
      </c>
      <c r="H39" s="92"/>
      <c r="I39" s="92">
        <v>0.54166666666666663</v>
      </c>
      <c r="J39" s="89"/>
      <c r="K39" s="89"/>
      <c r="L39" s="89"/>
      <c r="M39" s="89"/>
      <c r="N39" s="89"/>
      <c r="O39" s="86" t="s">
        <v>476</v>
      </c>
      <c r="P39" s="86"/>
      <c r="Q39" s="90">
        <v>45</v>
      </c>
      <c r="R39" s="221">
        <v>5</v>
      </c>
      <c r="S39" s="90"/>
      <c r="T39" s="90"/>
      <c r="U39" s="14"/>
      <c r="V39" s="14"/>
      <c r="W39" s="14"/>
      <c r="X39" s="86"/>
      <c r="Y39" s="59">
        <f ca="1">Table210[[#This Row],[End Date]]+2-TODAY()</f>
        <v>-58</v>
      </c>
      <c r="Z39" s="14">
        <f>IF(ISBLANK(Table210[[#This Row],[Roster Received By]]),1,0)</f>
        <v>1</v>
      </c>
      <c r="AA39" s="14">
        <f ca="1">IF(Table210[[#This Row],[Start Date]]&gt;TODAY(),1,)</f>
        <v>0</v>
      </c>
    </row>
    <row r="40" spans="1:27" s="93" customFormat="1" ht="14.25" customHeight="1" x14ac:dyDescent="0.25">
      <c r="A40" s="52"/>
      <c r="B40" s="86" t="s">
        <v>120</v>
      </c>
      <c r="C40" s="87" t="s">
        <v>121</v>
      </c>
      <c r="D40" s="87" t="s">
        <v>122</v>
      </c>
      <c r="E40" s="86"/>
      <c r="F40" s="89">
        <v>45782</v>
      </c>
      <c r="G40" s="89">
        <v>45786</v>
      </c>
      <c r="H40" s="92"/>
      <c r="I40" s="92">
        <v>0.33333333333333331</v>
      </c>
      <c r="J40" s="89"/>
      <c r="K40" s="89"/>
      <c r="L40" s="89"/>
      <c r="M40" s="89"/>
      <c r="N40" s="89"/>
      <c r="O40" s="86" t="s">
        <v>476</v>
      </c>
      <c r="P40" s="86"/>
      <c r="Q40" s="90">
        <v>45</v>
      </c>
      <c r="R40" s="221">
        <v>5</v>
      </c>
      <c r="S40" s="90"/>
      <c r="T40" s="90"/>
      <c r="U40" s="14"/>
      <c r="V40" s="14"/>
      <c r="W40" s="14"/>
      <c r="X40" s="86"/>
      <c r="Y40" s="59">
        <f ca="1">Table210[[#This Row],[End Date]]+2-TODAY()</f>
        <v>-30</v>
      </c>
      <c r="Z40" s="14">
        <f>IF(ISBLANK(Table210[[#This Row],[Roster Received By]]),1,0)</f>
        <v>1</v>
      </c>
      <c r="AA40" s="14">
        <f ca="1">IF(Table210[[#This Row],[Start Date]]&gt;TODAY(),1,)</f>
        <v>0</v>
      </c>
    </row>
    <row r="41" spans="1:27" s="93" customFormat="1" ht="14.25" customHeight="1" x14ac:dyDescent="0.25">
      <c r="A41" s="52"/>
      <c r="B41" s="86" t="s">
        <v>120</v>
      </c>
      <c r="C41" s="87" t="s">
        <v>121</v>
      </c>
      <c r="D41" s="87" t="s">
        <v>122</v>
      </c>
      <c r="E41" s="86"/>
      <c r="F41" s="89">
        <v>45795</v>
      </c>
      <c r="G41" s="89">
        <v>45799</v>
      </c>
      <c r="H41" s="92"/>
      <c r="I41" s="92">
        <v>0.79166666666666663</v>
      </c>
      <c r="J41" s="89"/>
      <c r="K41" s="89"/>
      <c r="L41" s="89"/>
      <c r="M41" s="89"/>
      <c r="N41" s="89"/>
      <c r="O41" s="86" t="s">
        <v>476</v>
      </c>
      <c r="P41" s="86"/>
      <c r="Q41" s="90">
        <v>45</v>
      </c>
      <c r="R41" s="221">
        <v>5</v>
      </c>
      <c r="S41" s="90"/>
      <c r="T41" s="90"/>
      <c r="U41" s="14"/>
      <c r="V41" s="14"/>
      <c r="W41" s="14"/>
      <c r="X41" s="86"/>
      <c r="Y41" s="59">
        <f ca="1">Table210[[#This Row],[End Date]]+2-TODAY()</f>
        <v>-17</v>
      </c>
      <c r="Z41" s="14">
        <f>IF(ISBLANK(Table210[[#This Row],[Roster Received By]]),1,0)</f>
        <v>1</v>
      </c>
      <c r="AA41" s="14">
        <f ca="1">IF(Table210[[#This Row],[Start Date]]&gt;TODAY(),1,)</f>
        <v>0</v>
      </c>
    </row>
    <row r="42" spans="1:27" s="93" customFormat="1" ht="14.25" customHeight="1" x14ac:dyDescent="0.25">
      <c r="A42" s="52"/>
      <c r="B42" s="86" t="s">
        <v>120</v>
      </c>
      <c r="C42" s="87" t="s">
        <v>121</v>
      </c>
      <c r="D42" s="87" t="s">
        <v>122</v>
      </c>
      <c r="E42" s="86"/>
      <c r="F42" s="89">
        <v>45831</v>
      </c>
      <c r="G42" s="89">
        <v>45835</v>
      </c>
      <c r="H42" s="95"/>
      <c r="I42" s="95">
        <v>0.54166666666666663</v>
      </c>
      <c r="J42" s="89"/>
      <c r="K42" s="89"/>
      <c r="L42" s="89"/>
      <c r="M42" s="89"/>
      <c r="N42" s="89"/>
      <c r="O42" s="86" t="s">
        <v>476</v>
      </c>
      <c r="P42" s="86"/>
      <c r="Q42" s="90">
        <v>45</v>
      </c>
      <c r="R42" s="221">
        <v>5</v>
      </c>
      <c r="S42" s="90"/>
      <c r="T42" s="90"/>
      <c r="U42" s="14"/>
      <c r="V42" s="14"/>
      <c r="W42" s="14"/>
      <c r="X42" s="86"/>
      <c r="Y42" s="59">
        <f ca="1">Table210[[#This Row],[End Date]]+2-TODAY()</f>
        <v>19</v>
      </c>
      <c r="Z42" s="14">
        <f>IF(ISBLANK(Table210[[#This Row],[Roster Received By]]),1,0)</f>
        <v>1</v>
      </c>
      <c r="AA42" s="14">
        <f ca="1">IF(Table210[[#This Row],[Start Date]]&gt;TODAY(),1,)</f>
        <v>1</v>
      </c>
    </row>
    <row r="43" spans="1:27" s="93" customFormat="1" ht="14.25" customHeight="1" x14ac:dyDescent="0.25">
      <c r="A43" s="52"/>
      <c r="B43" s="86" t="s">
        <v>120</v>
      </c>
      <c r="C43" s="87" t="s">
        <v>121</v>
      </c>
      <c r="D43" s="87" t="s">
        <v>122</v>
      </c>
      <c r="E43" s="86"/>
      <c r="F43" s="89">
        <v>45845</v>
      </c>
      <c r="G43" s="89">
        <v>45849</v>
      </c>
      <c r="H43" s="95"/>
      <c r="I43" s="95">
        <v>0.54166666666666663</v>
      </c>
      <c r="J43" s="89"/>
      <c r="K43" s="89"/>
      <c r="L43" s="89"/>
      <c r="M43" s="89"/>
      <c r="N43" s="89"/>
      <c r="O43" s="86" t="s">
        <v>476</v>
      </c>
      <c r="P43" s="86"/>
      <c r="Q43" s="90">
        <v>45</v>
      </c>
      <c r="R43" s="221">
        <v>5</v>
      </c>
      <c r="S43" s="90"/>
      <c r="T43" s="90"/>
      <c r="U43" s="14"/>
      <c r="V43" s="14"/>
      <c r="W43" s="87"/>
      <c r="X43" s="86"/>
      <c r="Y43" s="59">
        <f ca="1">Table210[[#This Row],[End Date]]+2-TODAY()</f>
        <v>33</v>
      </c>
      <c r="Z43" s="14">
        <f>IF(ISBLANK(Table210[[#This Row],[Roster Received By]]),1,0)</f>
        <v>1</v>
      </c>
      <c r="AA43" s="14">
        <f ca="1">IF(Table210[[#This Row],[Start Date]]&gt;TODAY(),1,)</f>
        <v>1</v>
      </c>
    </row>
    <row r="44" spans="1:27" s="93" customFormat="1" ht="14.25" customHeight="1" x14ac:dyDescent="0.25">
      <c r="A44" s="52"/>
      <c r="B44" s="86" t="s">
        <v>120</v>
      </c>
      <c r="C44" s="87" t="s">
        <v>121</v>
      </c>
      <c r="D44" s="87" t="s">
        <v>122</v>
      </c>
      <c r="E44" s="86"/>
      <c r="F44" s="89">
        <v>45866</v>
      </c>
      <c r="G44" s="89">
        <v>45870</v>
      </c>
      <c r="H44" s="95"/>
      <c r="I44" s="95">
        <v>0.54166666666666663</v>
      </c>
      <c r="J44" s="89"/>
      <c r="K44" s="89"/>
      <c r="L44" s="89"/>
      <c r="M44" s="89"/>
      <c r="N44" s="89"/>
      <c r="O44" s="86" t="s">
        <v>476</v>
      </c>
      <c r="P44" s="86"/>
      <c r="Q44" s="90">
        <v>45</v>
      </c>
      <c r="R44" s="221">
        <v>5</v>
      </c>
      <c r="S44" s="90"/>
      <c r="T44" s="90"/>
      <c r="U44" s="14"/>
      <c r="V44" s="14"/>
      <c r="W44" s="87"/>
      <c r="X44" s="86"/>
      <c r="Y44" s="59">
        <f ca="1">Table210[[#This Row],[End Date]]+2-TODAY()</f>
        <v>54</v>
      </c>
      <c r="Z44" s="14">
        <f>IF(ISBLANK(Table210[[#This Row],[Roster Received By]]),1,0)</f>
        <v>1</v>
      </c>
      <c r="AA44" s="14">
        <f ca="1">IF(Table210[[#This Row],[Start Date]]&gt;TODAY(),1,)</f>
        <v>1</v>
      </c>
    </row>
    <row r="45" spans="1:27" s="93" customFormat="1" ht="14.25" customHeight="1" x14ac:dyDescent="0.25">
      <c r="A45" s="52"/>
      <c r="B45" s="86" t="s">
        <v>120</v>
      </c>
      <c r="C45" s="87" t="s">
        <v>121</v>
      </c>
      <c r="D45" s="87" t="s">
        <v>122</v>
      </c>
      <c r="E45" s="86"/>
      <c r="F45" s="89">
        <v>45886</v>
      </c>
      <c r="G45" s="89">
        <v>45890</v>
      </c>
      <c r="H45" s="92"/>
      <c r="I45" s="92">
        <v>0.79166666666666663</v>
      </c>
      <c r="J45" s="89"/>
      <c r="K45" s="89"/>
      <c r="L45" s="89"/>
      <c r="M45" s="89"/>
      <c r="N45" s="89"/>
      <c r="O45" s="86" t="s">
        <v>476</v>
      </c>
      <c r="P45" s="86"/>
      <c r="Q45" s="90">
        <v>45</v>
      </c>
      <c r="R45" s="221">
        <v>5</v>
      </c>
      <c r="S45" s="90"/>
      <c r="T45" s="90"/>
      <c r="U45" s="14"/>
      <c r="V45" s="14"/>
      <c r="W45" s="14"/>
      <c r="X45" s="86"/>
      <c r="Y45" s="59">
        <f ca="1">Table210[[#This Row],[End Date]]+2-TODAY()</f>
        <v>74</v>
      </c>
      <c r="Z45" s="14">
        <f>IF(ISBLANK(Table210[[#This Row],[Roster Received By]]),1,0)</f>
        <v>1</v>
      </c>
      <c r="AA45" s="14">
        <f ca="1">IF(Table210[[#This Row],[Start Date]]&gt;TODAY(),1,)</f>
        <v>1</v>
      </c>
    </row>
    <row r="46" spans="1:27" s="93" customFormat="1" ht="16.5" customHeight="1" x14ac:dyDescent="0.25">
      <c r="A46" s="52"/>
      <c r="B46" s="124" t="s">
        <v>120</v>
      </c>
      <c r="C46" s="87" t="s">
        <v>121</v>
      </c>
      <c r="D46" s="87" t="s">
        <v>122</v>
      </c>
      <c r="E46" s="86"/>
      <c r="F46" s="89">
        <v>45915</v>
      </c>
      <c r="G46" s="89">
        <v>45919</v>
      </c>
      <c r="H46" s="89"/>
      <c r="I46" s="88">
        <v>0.33333333333333331</v>
      </c>
      <c r="J46" s="92"/>
      <c r="K46" s="92"/>
      <c r="L46" s="92"/>
      <c r="M46" s="92"/>
      <c r="N46" s="92"/>
      <c r="O46" s="86" t="s">
        <v>476</v>
      </c>
      <c r="P46" s="86"/>
      <c r="Q46" s="14">
        <v>45</v>
      </c>
      <c r="R46" s="199">
        <v>5</v>
      </c>
      <c r="S46" s="14"/>
      <c r="T46" s="90"/>
      <c r="U46" s="14"/>
      <c r="V46" s="14"/>
      <c r="W46" s="14"/>
      <c r="X46" s="86"/>
      <c r="Y46" s="59">
        <f ca="1">Table210[[#This Row],[End Date]]+2-TODAY()</f>
        <v>103</v>
      </c>
      <c r="Z46" s="14">
        <f>IF(ISBLANK(Table210[[#This Row],[Roster Received By]]),1,0)</f>
        <v>1</v>
      </c>
      <c r="AA46" s="14">
        <f ca="1">IF(Table210[[#This Row],[Start Date]]&gt;TODAY(),1,)</f>
        <v>1</v>
      </c>
    </row>
    <row r="47" spans="1:27" s="93" customFormat="1" ht="16.5" customHeight="1" x14ac:dyDescent="0.25">
      <c r="A47" s="139" t="s">
        <v>477</v>
      </c>
      <c r="B47" s="139" t="s">
        <v>181</v>
      </c>
      <c r="C47" s="141" t="s">
        <v>181</v>
      </c>
      <c r="D47" s="141" t="s">
        <v>181</v>
      </c>
      <c r="E47" s="139"/>
      <c r="F47" s="154">
        <v>45579</v>
      </c>
      <c r="G47" s="142">
        <v>45579</v>
      </c>
      <c r="H47" s="142"/>
      <c r="I47" s="143"/>
      <c r="J47" s="145"/>
      <c r="K47" s="145"/>
      <c r="L47" s="145"/>
      <c r="M47" s="145"/>
      <c r="N47" s="145"/>
      <c r="O47" s="139"/>
      <c r="P47" s="139"/>
      <c r="Q47" s="144">
        <v>0</v>
      </c>
      <c r="R47" s="144">
        <v>0</v>
      </c>
      <c r="S47" s="14"/>
      <c r="T47" s="90"/>
      <c r="U47" s="14"/>
      <c r="V47" s="14"/>
      <c r="W47" s="14"/>
      <c r="X47" s="86"/>
      <c r="Y47" s="59">
        <f ca="1">Table210[[#This Row],[End Date]]+2-TODAY()</f>
        <v>-237</v>
      </c>
      <c r="Z47" s="14">
        <f>IF(ISBLANK(Table210[[#This Row],[Roster Received By]]),1,0)</f>
        <v>1</v>
      </c>
      <c r="AA47" s="14">
        <f ca="1">IF(Table210[[#This Row],[Start Date]]&gt;TODAY(),1,)</f>
        <v>0</v>
      </c>
    </row>
    <row r="48" spans="1:27" s="93" customFormat="1" ht="14.25" customHeight="1" x14ac:dyDescent="0.25">
      <c r="A48" s="138" t="s">
        <v>478</v>
      </c>
      <c r="B48" s="139" t="s">
        <v>181</v>
      </c>
      <c r="C48" s="141" t="s">
        <v>181</v>
      </c>
      <c r="D48" s="141" t="s">
        <v>181</v>
      </c>
      <c r="E48" s="168"/>
      <c r="F48" s="142">
        <v>45607</v>
      </c>
      <c r="G48" s="142">
        <v>45607</v>
      </c>
      <c r="H48" s="145"/>
      <c r="I48" s="145"/>
      <c r="J48" s="142"/>
      <c r="K48" s="142"/>
      <c r="L48" s="142"/>
      <c r="M48" s="142"/>
      <c r="N48" s="142"/>
      <c r="O48" s="139"/>
      <c r="P48" s="139"/>
      <c r="Q48" s="144">
        <v>0</v>
      </c>
      <c r="R48" s="144">
        <v>0</v>
      </c>
      <c r="S48" s="144"/>
      <c r="T48" s="169"/>
      <c r="U48" s="144"/>
      <c r="V48" s="144"/>
      <c r="W48" s="141"/>
      <c r="X48" s="139"/>
      <c r="Y48" s="170">
        <f ca="1">Table210[[#This Row],[End Date]]+2-TODAY()</f>
        <v>-209</v>
      </c>
      <c r="Z48" s="144">
        <f>IF(ISBLANK(Table210[[#This Row],[Roster Received By]]),1,0)</f>
        <v>1</v>
      </c>
      <c r="AA48" s="144">
        <f ca="1">IF(Table210[[#This Row],[Start Date]]&gt;TODAY(),1,)</f>
        <v>0</v>
      </c>
    </row>
    <row r="49" spans="1:27" s="93" customFormat="1" ht="14.25" customHeight="1" x14ac:dyDescent="0.25">
      <c r="A49" s="138" t="s">
        <v>479</v>
      </c>
      <c r="B49" s="139" t="s">
        <v>181</v>
      </c>
      <c r="C49" s="141" t="s">
        <v>181</v>
      </c>
      <c r="D49" s="141" t="s">
        <v>181</v>
      </c>
      <c r="E49" s="139"/>
      <c r="F49" s="142">
        <v>45624</v>
      </c>
      <c r="G49" s="142">
        <v>45624</v>
      </c>
      <c r="H49" s="171"/>
      <c r="I49" s="145"/>
      <c r="J49" s="142"/>
      <c r="K49" s="142"/>
      <c r="L49" s="142"/>
      <c r="M49" s="142"/>
      <c r="N49" s="142"/>
      <c r="O49" s="139"/>
      <c r="P49" s="139"/>
      <c r="Q49" s="144">
        <v>0</v>
      </c>
      <c r="R49" s="144">
        <v>0</v>
      </c>
      <c r="S49" s="169"/>
      <c r="T49" s="169"/>
      <c r="U49" s="144"/>
      <c r="V49" s="144"/>
      <c r="W49" s="144"/>
      <c r="X49" s="139"/>
      <c r="Y49" s="170">
        <f ca="1">Table210[[#This Row],[End Date]]+2-TODAY()</f>
        <v>-192</v>
      </c>
      <c r="Z49" s="144">
        <f>IF(ISBLANK(Table210[[#This Row],[Roster Received By]]),1,0)</f>
        <v>1</v>
      </c>
      <c r="AA49" s="144">
        <f ca="1">IF(Table210[[#This Row],[Start Date]]&gt;TODAY(),1,)</f>
        <v>0</v>
      </c>
    </row>
    <row r="50" spans="1:27" s="93" customFormat="1" ht="14.25" customHeight="1" x14ac:dyDescent="0.25">
      <c r="A50" s="138" t="s">
        <v>480</v>
      </c>
      <c r="B50" s="139" t="s">
        <v>181</v>
      </c>
      <c r="C50" s="141" t="s">
        <v>181</v>
      </c>
      <c r="D50" s="141" t="s">
        <v>181</v>
      </c>
      <c r="E50" s="139"/>
      <c r="F50" s="142">
        <v>45651</v>
      </c>
      <c r="G50" s="142">
        <v>45651</v>
      </c>
      <c r="H50" s="142"/>
      <c r="I50" s="143"/>
      <c r="J50" s="143"/>
      <c r="K50" s="143"/>
      <c r="L50" s="143"/>
      <c r="M50" s="143"/>
      <c r="N50" s="143"/>
      <c r="O50" s="139"/>
      <c r="P50" s="139"/>
      <c r="Q50" s="144">
        <v>0</v>
      </c>
      <c r="R50" s="144">
        <v>0</v>
      </c>
      <c r="S50" s="144"/>
      <c r="T50" s="169"/>
      <c r="U50" s="144"/>
      <c r="V50" s="144"/>
      <c r="W50" s="144"/>
      <c r="X50" s="139"/>
      <c r="Y50" s="170">
        <f ca="1">Table210[[#This Row],[End Date]]+2-TODAY()</f>
        <v>-165</v>
      </c>
      <c r="Z50" s="144">
        <f>IF(ISBLANK(Table210[[#This Row],[Roster Received By]]),1,0)</f>
        <v>1</v>
      </c>
      <c r="AA50" s="144">
        <f ca="1">IF(Table210[[#This Row],[Start Date]]&gt;TODAY(),1,)</f>
        <v>0</v>
      </c>
    </row>
    <row r="51" spans="1:27" s="93" customFormat="1" ht="14.25" customHeight="1" x14ac:dyDescent="0.25">
      <c r="A51" s="139" t="s">
        <v>481</v>
      </c>
      <c r="B51" s="139" t="s">
        <v>181</v>
      </c>
      <c r="C51" s="141" t="s">
        <v>181</v>
      </c>
      <c r="D51" s="141" t="s">
        <v>181</v>
      </c>
      <c r="E51" s="168"/>
      <c r="F51" s="142">
        <v>45658</v>
      </c>
      <c r="G51" s="142">
        <v>45658</v>
      </c>
      <c r="H51" s="171"/>
      <c r="I51" s="171"/>
      <c r="J51" s="142"/>
      <c r="K51" s="142"/>
      <c r="L51" s="142"/>
      <c r="M51" s="142"/>
      <c r="N51" s="142"/>
      <c r="O51" s="139"/>
      <c r="P51" s="139"/>
      <c r="Q51" s="144">
        <v>0</v>
      </c>
      <c r="R51" s="144">
        <v>0</v>
      </c>
      <c r="S51" s="144"/>
      <c r="T51" s="169"/>
      <c r="U51" s="144"/>
      <c r="V51" s="144"/>
      <c r="W51" s="144"/>
      <c r="X51" s="139"/>
      <c r="Y51" s="170">
        <f ca="1">Table210[[#This Row],[End Date]]+2-TODAY()</f>
        <v>-158</v>
      </c>
      <c r="Z51" s="144">
        <f>IF(ISBLANK(Table210[[#This Row],[Roster Received By]]),1,0)</f>
        <v>1</v>
      </c>
      <c r="AA51" s="144">
        <f ca="1">IF(Table210[[#This Row],[Start Date]]&gt;TODAY(),1,)</f>
        <v>0</v>
      </c>
    </row>
    <row r="52" spans="1:27" s="125" customFormat="1" ht="14.25" customHeight="1" x14ac:dyDescent="0.25">
      <c r="A52" s="139" t="s">
        <v>482</v>
      </c>
      <c r="B52" s="139" t="s">
        <v>181</v>
      </c>
      <c r="C52" s="141" t="s">
        <v>181</v>
      </c>
      <c r="D52" s="141" t="s">
        <v>181</v>
      </c>
      <c r="E52" s="139"/>
      <c r="F52" s="142">
        <v>45677</v>
      </c>
      <c r="G52" s="142">
        <v>45677</v>
      </c>
      <c r="H52" s="171"/>
      <c r="I52" s="145"/>
      <c r="J52" s="142"/>
      <c r="K52" s="142"/>
      <c r="L52" s="142"/>
      <c r="M52" s="142"/>
      <c r="N52" s="142"/>
      <c r="O52" s="139"/>
      <c r="P52" s="139"/>
      <c r="Q52" s="144">
        <v>0</v>
      </c>
      <c r="R52" s="144">
        <v>0</v>
      </c>
      <c r="S52" s="169"/>
      <c r="T52" s="169"/>
      <c r="U52" s="144"/>
      <c r="V52" s="144"/>
      <c r="W52" s="141"/>
      <c r="X52" s="139"/>
      <c r="Y52" s="170">
        <f ca="1">Table210[[#This Row],[End Date]]+2-TODAY()</f>
        <v>-139</v>
      </c>
      <c r="Z52" s="144">
        <f>IF(ISBLANK(Table210[[#This Row],[Roster Received By]]),1,0)</f>
        <v>1</v>
      </c>
      <c r="AA52" s="144">
        <f ca="1">IF(Table210[[#This Row],[Start Date]]&gt;TODAY(),1,)</f>
        <v>0</v>
      </c>
    </row>
    <row r="53" spans="1:27" s="93" customFormat="1" ht="16.5" customHeight="1" x14ac:dyDescent="0.25">
      <c r="A53" s="138" t="s">
        <v>483</v>
      </c>
      <c r="B53" s="139" t="s">
        <v>181</v>
      </c>
      <c r="C53" s="141" t="s">
        <v>181</v>
      </c>
      <c r="D53" s="141" t="s">
        <v>181</v>
      </c>
      <c r="E53" s="139"/>
      <c r="F53" s="142">
        <v>45705</v>
      </c>
      <c r="G53" s="142">
        <v>45705</v>
      </c>
      <c r="H53" s="145"/>
      <c r="I53" s="145"/>
      <c r="J53" s="145"/>
      <c r="K53" s="145"/>
      <c r="L53" s="145"/>
      <c r="M53" s="145"/>
      <c r="N53" s="145"/>
      <c r="O53" s="139"/>
      <c r="P53" s="139"/>
      <c r="Q53" s="144">
        <v>0</v>
      </c>
      <c r="R53" s="144">
        <v>0</v>
      </c>
      <c r="S53" s="144"/>
      <c r="T53" s="169"/>
      <c r="U53" s="144"/>
      <c r="V53" s="144"/>
      <c r="W53" s="144"/>
      <c r="X53" s="139"/>
      <c r="Y53" s="170">
        <f ca="1">Table210[[#This Row],[End Date]]+2-TODAY()</f>
        <v>-111</v>
      </c>
      <c r="Z53" s="144">
        <f>IF(ISBLANK(Table210[[#This Row],[Roster Received By]]),1,0)</f>
        <v>1</v>
      </c>
      <c r="AA53" s="144">
        <f ca="1">IF(Table210[[#This Row],[Start Date]]&gt;TODAY(),1,)</f>
        <v>0</v>
      </c>
    </row>
    <row r="54" spans="1:27" s="93" customFormat="1" ht="16.5" customHeight="1" x14ac:dyDescent="0.25">
      <c r="A54" s="138" t="s">
        <v>484</v>
      </c>
      <c r="B54" s="139" t="s">
        <v>181</v>
      </c>
      <c r="C54" s="141" t="s">
        <v>181</v>
      </c>
      <c r="D54" s="141" t="s">
        <v>181</v>
      </c>
      <c r="E54" s="168"/>
      <c r="F54" s="142">
        <v>45803</v>
      </c>
      <c r="G54" s="142">
        <v>45803</v>
      </c>
      <c r="H54" s="171"/>
      <c r="I54" s="171"/>
      <c r="J54" s="142"/>
      <c r="K54" s="142"/>
      <c r="L54" s="142"/>
      <c r="M54" s="142"/>
      <c r="N54" s="142"/>
      <c r="O54" s="139"/>
      <c r="P54" s="139"/>
      <c r="Q54" s="144">
        <v>0</v>
      </c>
      <c r="R54" s="144">
        <v>0</v>
      </c>
      <c r="S54" s="144"/>
      <c r="T54" s="169"/>
      <c r="U54" s="144"/>
      <c r="V54" s="144"/>
      <c r="W54" s="144"/>
      <c r="X54" s="139"/>
      <c r="Y54" s="170">
        <f ca="1">Table210[[#This Row],[End Date]]+2-TODAY()</f>
        <v>-13</v>
      </c>
      <c r="Z54" s="144">
        <f>IF(ISBLANK(Table210[[#This Row],[Roster Received By]]),1,0)</f>
        <v>1</v>
      </c>
      <c r="AA54" s="144">
        <f ca="1">IF(Table210[[#This Row],[Start Date]]&gt;TODAY(),1,)</f>
        <v>0</v>
      </c>
    </row>
    <row r="55" spans="1:27" s="93" customFormat="1" ht="14.25" customHeight="1" x14ac:dyDescent="0.25">
      <c r="A55" s="138" t="s">
        <v>485</v>
      </c>
      <c r="B55" s="139" t="s">
        <v>181</v>
      </c>
      <c r="C55" s="141" t="s">
        <v>181</v>
      </c>
      <c r="D55" s="141" t="s">
        <v>181</v>
      </c>
      <c r="E55" s="168"/>
      <c r="F55" s="142">
        <v>45827</v>
      </c>
      <c r="G55" s="142">
        <v>45827</v>
      </c>
      <c r="H55" s="171"/>
      <c r="I55" s="171"/>
      <c r="J55" s="142"/>
      <c r="K55" s="142"/>
      <c r="L55" s="142"/>
      <c r="M55" s="142"/>
      <c r="N55" s="142"/>
      <c r="O55" s="139"/>
      <c r="P55" s="139"/>
      <c r="Q55" s="144">
        <v>0</v>
      </c>
      <c r="R55" s="144">
        <v>0</v>
      </c>
      <c r="S55" s="144"/>
      <c r="T55" s="169"/>
      <c r="U55" s="144"/>
      <c r="V55" s="144"/>
      <c r="W55" s="144"/>
      <c r="X55" s="139"/>
      <c r="Y55" s="170">
        <f ca="1">Table210[[#This Row],[End Date]]+2-TODAY()</f>
        <v>11</v>
      </c>
      <c r="Z55" s="144">
        <f>IF(ISBLANK(Table210[[#This Row],[Roster Received By]]),1,0)</f>
        <v>1</v>
      </c>
      <c r="AA55" s="144">
        <f ca="1">IF(Table210[[#This Row],[Start Date]]&gt;TODAY(),1,)</f>
        <v>1</v>
      </c>
    </row>
    <row r="56" spans="1:27" s="93" customFormat="1" ht="14.25" customHeight="1" x14ac:dyDescent="0.25">
      <c r="A56" s="138" t="s">
        <v>486</v>
      </c>
      <c r="B56" s="139" t="s">
        <v>181</v>
      </c>
      <c r="C56" s="141" t="s">
        <v>181</v>
      </c>
      <c r="D56" s="141" t="s">
        <v>181</v>
      </c>
      <c r="E56" s="168"/>
      <c r="F56" s="142">
        <v>45842</v>
      </c>
      <c r="G56" s="142">
        <v>45842</v>
      </c>
      <c r="H56" s="171"/>
      <c r="I56" s="171"/>
      <c r="J56" s="142"/>
      <c r="K56" s="142"/>
      <c r="L56" s="142"/>
      <c r="M56" s="142"/>
      <c r="N56" s="142"/>
      <c r="O56" s="139"/>
      <c r="P56" s="139"/>
      <c r="Q56" s="144">
        <v>0</v>
      </c>
      <c r="R56" s="144">
        <v>0</v>
      </c>
      <c r="S56" s="144"/>
      <c r="T56" s="169"/>
      <c r="U56" s="144"/>
      <c r="V56" s="144"/>
      <c r="W56" s="141"/>
      <c r="X56" s="139"/>
      <c r="Y56" s="170">
        <f ca="1">Table210[[#This Row],[End Date]]+2-TODAY()</f>
        <v>26</v>
      </c>
      <c r="Z56" s="144">
        <f>IF(ISBLANK(Table210[[#This Row],[Roster Received By]]),1,0)</f>
        <v>1</v>
      </c>
      <c r="AA56" s="144">
        <f ca="1">IF(Table210[[#This Row],[Start Date]]&gt;TODAY(),1,)</f>
        <v>1</v>
      </c>
    </row>
    <row r="57" spans="1:27" s="93" customFormat="1" ht="14.25" customHeight="1" x14ac:dyDescent="0.25">
      <c r="A57" s="138" t="s">
        <v>487</v>
      </c>
      <c r="B57" s="172" t="s">
        <v>181</v>
      </c>
      <c r="C57" s="141" t="s">
        <v>181</v>
      </c>
      <c r="D57" s="141" t="s">
        <v>181</v>
      </c>
      <c r="E57" s="168"/>
      <c r="F57" s="142">
        <v>45901</v>
      </c>
      <c r="G57" s="142">
        <v>45901</v>
      </c>
      <c r="H57" s="145"/>
      <c r="I57" s="145"/>
      <c r="J57" s="142"/>
      <c r="K57" s="142"/>
      <c r="L57" s="142"/>
      <c r="M57" s="142"/>
      <c r="N57" s="142"/>
      <c r="O57" s="139"/>
      <c r="P57" s="139"/>
      <c r="Q57" s="144">
        <v>0</v>
      </c>
      <c r="R57" s="144">
        <v>0</v>
      </c>
      <c r="S57" s="144"/>
      <c r="T57" s="169"/>
      <c r="U57" s="144"/>
      <c r="V57" s="144"/>
      <c r="W57" s="144"/>
      <c r="X57" s="139"/>
      <c r="Y57" s="170">
        <f ca="1">Table210[[#This Row],[End Date]]+2-TODAY()</f>
        <v>85</v>
      </c>
      <c r="Z57" s="144">
        <f>IF(ISBLANK(Table210[[#This Row],[Roster Received By]]),1,0)</f>
        <v>1</v>
      </c>
      <c r="AA57" s="144">
        <f ca="1">IF(Table210[[#This Row],[Start Date]]&gt;TODAY(),1,)</f>
        <v>1</v>
      </c>
    </row>
    <row r="58" spans="1:27" s="93" customFormat="1" ht="16.5" customHeight="1" x14ac:dyDescent="0.25">
      <c r="A58" s="87"/>
      <c r="B58" s="103" t="s">
        <v>39</v>
      </c>
      <c r="C58" s="87" t="s">
        <v>146</v>
      </c>
      <c r="D58" s="87" t="s">
        <v>147</v>
      </c>
      <c r="E58" s="86"/>
      <c r="F58" s="89">
        <v>45565</v>
      </c>
      <c r="G58" s="89">
        <v>45568</v>
      </c>
      <c r="H58" s="92"/>
      <c r="I58" s="92">
        <v>0.54166666666666663</v>
      </c>
      <c r="J58" s="89"/>
      <c r="K58" s="89"/>
      <c r="L58" s="89"/>
      <c r="M58" s="89"/>
      <c r="N58" s="89"/>
      <c r="O58" s="86" t="s">
        <v>229</v>
      </c>
      <c r="P58" s="86"/>
      <c r="Q58" s="201">
        <v>45</v>
      </c>
      <c r="R58" s="221">
        <v>4</v>
      </c>
      <c r="S58" s="201"/>
      <c r="T58" s="201"/>
      <c r="U58" s="94"/>
      <c r="V58" s="94"/>
      <c r="W58" s="94"/>
      <c r="X58" s="94"/>
      <c r="Y58" s="222">
        <f ca="1">Table210[[#This Row],[End Date]]+2-TODAY()</f>
        <v>-248</v>
      </c>
      <c r="Z58" s="87">
        <f>IF(ISBLANK(Table210[[#This Row],[Roster Received By]]),1,0)</f>
        <v>1</v>
      </c>
      <c r="AA58" s="87">
        <f ca="1">IF(Table210[[#This Row],[Start Date]]&gt;TODAY(),1,)</f>
        <v>0</v>
      </c>
    </row>
    <row r="59" spans="1:27" s="93" customFormat="1" ht="16.5" customHeight="1" x14ac:dyDescent="0.25">
      <c r="A59" s="86"/>
      <c r="B59" s="104" t="s">
        <v>39</v>
      </c>
      <c r="C59" s="87" t="s">
        <v>146</v>
      </c>
      <c r="D59" s="87" t="s">
        <v>147</v>
      </c>
      <c r="E59" s="86"/>
      <c r="F59" s="89">
        <v>45585</v>
      </c>
      <c r="G59" s="89">
        <v>45589</v>
      </c>
      <c r="H59" s="92"/>
      <c r="I59" s="92">
        <v>0.79166666666666663</v>
      </c>
      <c r="J59" s="89"/>
      <c r="K59" s="89"/>
      <c r="L59" s="89"/>
      <c r="M59" s="89"/>
      <c r="N59" s="89"/>
      <c r="O59" s="86" t="s">
        <v>229</v>
      </c>
      <c r="P59" s="86"/>
      <c r="Q59" s="90">
        <v>45</v>
      </c>
      <c r="R59" s="221">
        <v>4</v>
      </c>
      <c r="S59" s="90"/>
      <c r="T59" s="90"/>
      <c r="U59" s="14"/>
      <c r="V59" s="14"/>
      <c r="W59" s="14"/>
      <c r="X59" s="86"/>
      <c r="Y59" s="59">
        <f ca="1">Table210[[#This Row],[End Date]]+2-TODAY()</f>
        <v>-227</v>
      </c>
      <c r="Z59" s="14">
        <f>IF(ISBLANK(Table210[[#This Row],[Roster Received By]]),1,0)</f>
        <v>1</v>
      </c>
      <c r="AA59" s="14">
        <f ca="1">IF(Table210[[#This Row],[Start Date]]&gt;TODAY(),1,)</f>
        <v>0</v>
      </c>
    </row>
    <row r="60" spans="1:27" s="93" customFormat="1" ht="14.25" customHeight="1" x14ac:dyDescent="0.25">
      <c r="A60" s="52"/>
      <c r="B60" s="104" t="s">
        <v>39</v>
      </c>
      <c r="C60" s="87" t="s">
        <v>146</v>
      </c>
      <c r="D60" s="87" t="s">
        <v>147</v>
      </c>
      <c r="E60" s="86"/>
      <c r="F60" s="89">
        <v>45614</v>
      </c>
      <c r="G60" s="89">
        <v>45617</v>
      </c>
      <c r="H60" s="92"/>
      <c r="I60" s="92">
        <v>0.33333333333333331</v>
      </c>
      <c r="J60" s="89"/>
      <c r="K60" s="89"/>
      <c r="L60" s="89"/>
      <c r="M60" s="89"/>
      <c r="N60" s="89"/>
      <c r="O60" s="86" t="s">
        <v>229</v>
      </c>
      <c r="P60" s="86"/>
      <c r="Q60" s="90">
        <v>45</v>
      </c>
      <c r="R60" s="221">
        <v>4</v>
      </c>
      <c r="S60" s="90"/>
      <c r="T60" s="90"/>
      <c r="U60" s="14"/>
      <c r="V60" s="14"/>
      <c r="W60" s="87"/>
      <c r="X60" s="86"/>
      <c r="Y60" s="59">
        <f ca="1">Table210[[#This Row],[End Date]]+2-TODAY()</f>
        <v>-199</v>
      </c>
      <c r="Z60" s="14">
        <f>IF(ISBLANK(Table210[[#This Row],[Roster Received By]]),1,0)</f>
        <v>1</v>
      </c>
      <c r="AA60" s="14">
        <f ca="1">IF(Table210[[#This Row],[Start Date]]&gt;TODAY(),1,)</f>
        <v>0</v>
      </c>
    </row>
    <row r="61" spans="1:27" s="93" customFormat="1" ht="14.25" customHeight="1" x14ac:dyDescent="0.25">
      <c r="A61" s="52"/>
      <c r="B61" s="104" t="s">
        <v>39</v>
      </c>
      <c r="C61" s="87" t="s">
        <v>146</v>
      </c>
      <c r="D61" s="87" t="s">
        <v>147</v>
      </c>
      <c r="E61" s="86"/>
      <c r="F61" s="89">
        <v>45628</v>
      </c>
      <c r="G61" s="89">
        <v>45631</v>
      </c>
      <c r="H61" s="95"/>
      <c r="I61" s="92">
        <v>0.54166666666666663</v>
      </c>
      <c r="J61" s="89"/>
      <c r="K61" s="89"/>
      <c r="L61" s="89"/>
      <c r="M61" s="89"/>
      <c r="N61" s="89"/>
      <c r="O61" s="86" t="s">
        <v>229</v>
      </c>
      <c r="P61" s="86"/>
      <c r="Q61" s="90">
        <v>45</v>
      </c>
      <c r="R61" s="221">
        <v>4</v>
      </c>
      <c r="S61" s="90"/>
      <c r="T61" s="90"/>
      <c r="U61" s="14"/>
      <c r="V61" s="14"/>
      <c r="W61" s="14"/>
      <c r="X61" s="86"/>
      <c r="Y61" s="59">
        <f ca="1">Table210[[#This Row],[End Date]]+2-TODAY()</f>
        <v>-185</v>
      </c>
      <c r="Z61" s="14">
        <f>IF(ISBLANK(Table210[[#This Row],[Roster Received By]]),1,0)</f>
        <v>1</v>
      </c>
      <c r="AA61" s="14">
        <f ca="1">IF(Table210[[#This Row],[Start Date]]&gt;TODAY(),1,)</f>
        <v>0</v>
      </c>
    </row>
    <row r="62" spans="1:27" s="93" customFormat="1" ht="14.25" customHeight="1" x14ac:dyDescent="0.25">
      <c r="A62" s="52"/>
      <c r="B62" s="104" t="s">
        <v>39</v>
      </c>
      <c r="C62" s="87" t="s">
        <v>146</v>
      </c>
      <c r="D62" s="87" t="s">
        <v>147</v>
      </c>
      <c r="E62" s="86"/>
      <c r="F62" s="89">
        <v>45663</v>
      </c>
      <c r="G62" s="89">
        <v>45666</v>
      </c>
      <c r="H62" s="95"/>
      <c r="I62" s="92">
        <v>0.54166666666666663</v>
      </c>
      <c r="J62" s="89"/>
      <c r="K62" s="89"/>
      <c r="L62" s="89"/>
      <c r="M62" s="89"/>
      <c r="N62" s="89"/>
      <c r="O62" s="86" t="s">
        <v>229</v>
      </c>
      <c r="P62" s="86"/>
      <c r="Q62" s="90">
        <v>45</v>
      </c>
      <c r="R62" s="221">
        <v>4</v>
      </c>
      <c r="S62" s="90"/>
      <c r="T62" s="90"/>
      <c r="U62" s="14"/>
      <c r="V62" s="14"/>
      <c r="W62" s="14"/>
      <c r="X62" s="86"/>
      <c r="Y62" s="59">
        <f ca="1">Table210[[#This Row],[End Date]]+2-TODAY()</f>
        <v>-150</v>
      </c>
      <c r="Z62" s="14">
        <f>IF(ISBLANK(Table210[[#This Row],[Roster Received By]]),1,0)</f>
        <v>1</v>
      </c>
      <c r="AA62" s="14">
        <f ca="1">IF(Table210[[#This Row],[Start Date]]&gt;TODAY(),1,)</f>
        <v>0</v>
      </c>
    </row>
    <row r="63" spans="1:27" s="93" customFormat="1" ht="14.25" customHeight="1" x14ac:dyDescent="0.25">
      <c r="A63" s="52"/>
      <c r="B63" s="104" t="s">
        <v>39</v>
      </c>
      <c r="C63" s="87" t="s">
        <v>146</v>
      </c>
      <c r="D63" s="87" t="s">
        <v>147</v>
      </c>
      <c r="E63" s="86"/>
      <c r="F63" s="89">
        <v>45684</v>
      </c>
      <c r="G63" s="89">
        <v>45687</v>
      </c>
      <c r="H63" s="95"/>
      <c r="I63" s="92">
        <v>0.54166666666666663</v>
      </c>
      <c r="J63" s="89"/>
      <c r="K63" s="89"/>
      <c r="L63" s="89"/>
      <c r="M63" s="89"/>
      <c r="N63" s="89"/>
      <c r="O63" s="86" t="s">
        <v>229</v>
      </c>
      <c r="P63" s="86"/>
      <c r="Q63" s="90">
        <v>45</v>
      </c>
      <c r="R63" s="221">
        <v>4</v>
      </c>
      <c r="S63" s="90"/>
      <c r="T63" s="90"/>
      <c r="U63" s="14"/>
      <c r="V63" s="14"/>
      <c r="W63" s="14"/>
      <c r="X63" s="86"/>
      <c r="Y63" s="59">
        <f ca="1">Table210[[#This Row],[End Date]]+2-TODAY()</f>
        <v>-129</v>
      </c>
      <c r="Z63" s="14">
        <f>IF(ISBLANK(Table210[[#This Row],[Roster Received By]]),1,0)</f>
        <v>1</v>
      </c>
      <c r="AA63" s="14">
        <f ca="1">IF(Table210[[#This Row],[Start Date]]&gt;TODAY(),1,)</f>
        <v>0</v>
      </c>
    </row>
    <row r="64" spans="1:27" s="126" customFormat="1" ht="14.25" customHeight="1" x14ac:dyDescent="0.25">
      <c r="A64" s="52"/>
      <c r="B64" s="104" t="s">
        <v>39</v>
      </c>
      <c r="C64" s="87" t="s">
        <v>146</v>
      </c>
      <c r="D64" s="87" t="s">
        <v>147</v>
      </c>
      <c r="E64" s="86"/>
      <c r="F64" s="89">
        <v>45690</v>
      </c>
      <c r="G64" s="89">
        <v>45693</v>
      </c>
      <c r="H64" s="95"/>
      <c r="I64" s="95">
        <v>0.79166666666666663</v>
      </c>
      <c r="J64" s="89"/>
      <c r="K64" s="89"/>
      <c r="L64" s="89"/>
      <c r="M64" s="89"/>
      <c r="N64" s="89"/>
      <c r="O64" s="86" t="s">
        <v>229</v>
      </c>
      <c r="P64" s="86"/>
      <c r="Q64" s="90">
        <v>45</v>
      </c>
      <c r="R64" s="221">
        <v>4</v>
      </c>
      <c r="S64" s="90"/>
      <c r="T64" s="90"/>
      <c r="U64" s="14"/>
      <c r="V64" s="14"/>
      <c r="W64" s="14"/>
      <c r="X64" s="86"/>
      <c r="Y64" s="59">
        <f ca="1">Table210[[#This Row],[End Date]]+2-TODAY()</f>
        <v>-123</v>
      </c>
      <c r="Z64" s="14">
        <f>IF(ISBLANK(Table210[[#This Row],[Roster Received By]]),1,0)</f>
        <v>1</v>
      </c>
      <c r="AA64" s="14">
        <f ca="1">IF(Table210[[#This Row],[Start Date]]&gt;TODAY(),1,)</f>
        <v>0</v>
      </c>
    </row>
    <row r="65" spans="1:27" s="122" customFormat="1" ht="14.25" customHeight="1" x14ac:dyDescent="0.25">
      <c r="A65" s="52"/>
      <c r="B65" s="104" t="s">
        <v>39</v>
      </c>
      <c r="C65" s="87" t="s">
        <v>146</v>
      </c>
      <c r="D65" s="87" t="s">
        <v>147</v>
      </c>
      <c r="E65" s="86"/>
      <c r="F65" s="89">
        <v>45712</v>
      </c>
      <c r="G65" s="89">
        <v>45715</v>
      </c>
      <c r="H65" s="92"/>
      <c r="I65" s="92">
        <v>0.33333333333333331</v>
      </c>
      <c r="J65" s="89"/>
      <c r="K65" s="89"/>
      <c r="L65" s="89"/>
      <c r="M65" s="89"/>
      <c r="N65" s="89"/>
      <c r="O65" s="86" t="s">
        <v>229</v>
      </c>
      <c r="P65" s="86"/>
      <c r="Q65" s="90">
        <v>45</v>
      </c>
      <c r="R65" s="221">
        <v>4</v>
      </c>
      <c r="S65" s="90"/>
      <c r="T65" s="90"/>
      <c r="U65" s="14"/>
      <c r="V65" s="14"/>
      <c r="W65" s="14"/>
      <c r="X65" s="86"/>
      <c r="Y65" s="59">
        <f ca="1">Table210[[#This Row],[End Date]]+2-TODAY()</f>
        <v>-101</v>
      </c>
      <c r="Z65" s="14">
        <f>IF(ISBLANK(Table210[[#This Row],[Roster Received By]]),1,0)</f>
        <v>1</v>
      </c>
      <c r="AA65" s="14">
        <f ca="1">IF(Table210[[#This Row],[Start Date]]&gt;TODAY(),1,)</f>
        <v>0</v>
      </c>
    </row>
    <row r="66" spans="1:27" s="122" customFormat="1" ht="14.25" customHeight="1" x14ac:dyDescent="0.25">
      <c r="A66" s="52"/>
      <c r="B66" s="104" t="s">
        <v>39</v>
      </c>
      <c r="C66" s="87" t="s">
        <v>146</v>
      </c>
      <c r="D66" s="87" t="s">
        <v>147</v>
      </c>
      <c r="E66" s="86"/>
      <c r="F66" s="89">
        <v>45719</v>
      </c>
      <c r="G66" s="89">
        <v>45722</v>
      </c>
      <c r="H66" s="92"/>
      <c r="I66" s="92">
        <v>0.54166666666666663</v>
      </c>
      <c r="J66" s="89"/>
      <c r="K66" s="89"/>
      <c r="L66" s="89"/>
      <c r="M66" s="89"/>
      <c r="N66" s="89"/>
      <c r="O66" s="86" t="s">
        <v>229</v>
      </c>
      <c r="P66" s="86"/>
      <c r="Q66" s="90">
        <v>45</v>
      </c>
      <c r="R66" s="221">
        <v>4</v>
      </c>
      <c r="S66" s="90"/>
      <c r="T66" s="90"/>
      <c r="U66" s="14"/>
      <c r="V66" s="14"/>
      <c r="W66" s="14"/>
      <c r="X66" s="86"/>
      <c r="Y66" s="59">
        <f ca="1">Table210[[#This Row],[End Date]]+2-TODAY()</f>
        <v>-94</v>
      </c>
      <c r="Z66" s="14">
        <f>IF(ISBLANK(Table210[[#This Row],[Roster Received By]]),1,0)</f>
        <v>1</v>
      </c>
      <c r="AA66" s="14">
        <f ca="1">IF(Table210[[#This Row],[Start Date]]&gt;TODAY(),1,)</f>
        <v>0</v>
      </c>
    </row>
    <row r="67" spans="1:27" s="93" customFormat="1" ht="14.25" customHeight="1" x14ac:dyDescent="0.25">
      <c r="A67" s="52"/>
      <c r="B67" s="104" t="s">
        <v>39</v>
      </c>
      <c r="C67" s="87" t="s">
        <v>146</v>
      </c>
      <c r="D67" s="87" t="s">
        <v>147</v>
      </c>
      <c r="E67" s="86"/>
      <c r="F67" s="89">
        <v>45733</v>
      </c>
      <c r="G67" s="89">
        <v>45736</v>
      </c>
      <c r="H67" s="92"/>
      <c r="I67" s="92">
        <v>0.54166666666666663</v>
      </c>
      <c r="J67" s="89"/>
      <c r="K67" s="89"/>
      <c r="L67" s="89"/>
      <c r="M67" s="89"/>
      <c r="N67" s="89"/>
      <c r="O67" s="86" t="s">
        <v>229</v>
      </c>
      <c r="P67" s="86"/>
      <c r="Q67" s="90">
        <v>45</v>
      </c>
      <c r="R67" s="221">
        <v>4</v>
      </c>
      <c r="S67" s="90"/>
      <c r="T67" s="90"/>
      <c r="U67" s="14"/>
      <c r="V67" s="14"/>
      <c r="W67" s="14"/>
      <c r="X67" s="86"/>
      <c r="Y67" s="59">
        <f ca="1">Table210[[#This Row],[End Date]]+2-TODAY()</f>
        <v>-80</v>
      </c>
      <c r="Z67" s="14">
        <f>IF(ISBLANK(Table210[[#This Row],[Roster Received By]]),1,0)</f>
        <v>1</v>
      </c>
      <c r="AA67" s="14">
        <f ca="1">IF(Table210[[#This Row],[Start Date]]&gt;TODAY(),1,)</f>
        <v>0</v>
      </c>
    </row>
    <row r="68" spans="1:27" s="93" customFormat="1" ht="14.25" customHeight="1" x14ac:dyDescent="0.25">
      <c r="A68" s="52"/>
      <c r="B68" s="104" t="s">
        <v>39</v>
      </c>
      <c r="C68" s="87" t="s">
        <v>146</v>
      </c>
      <c r="D68" s="87" t="s">
        <v>147</v>
      </c>
      <c r="E68" s="86"/>
      <c r="F68" s="89">
        <v>45747</v>
      </c>
      <c r="G68" s="89">
        <v>45750</v>
      </c>
      <c r="H68" s="92"/>
      <c r="I68" s="92">
        <v>0.54166666666666663</v>
      </c>
      <c r="J68" s="89"/>
      <c r="K68" s="89"/>
      <c r="L68" s="89"/>
      <c r="M68" s="89"/>
      <c r="N68" s="89"/>
      <c r="O68" s="86" t="s">
        <v>229</v>
      </c>
      <c r="P68" s="86"/>
      <c r="Q68" s="90">
        <v>45</v>
      </c>
      <c r="R68" s="221">
        <v>4</v>
      </c>
      <c r="S68" s="90"/>
      <c r="T68" s="90"/>
      <c r="U68" s="14"/>
      <c r="V68" s="14"/>
      <c r="W68" s="14"/>
      <c r="X68" s="86"/>
      <c r="Y68" s="59">
        <f ca="1">Table210[[#This Row],[End Date]]+2-TODAY()</f>
        <v>-66</v>
      </c>
      <c r="Z68" s="14">
        <f>IF(ISBLANK(Table210[[#This Row],[Roster Received By]]),1,0)</f>
        <v>1</v>
      </c>
      <c r="AA68" s="14">
        <f ca="1">IF(Table210[[#This Row],[Start Date]]&gt;TODAY(),1,)</f>
        <v>0</v>
      </c>
    </row>
    <row r="69" spans="1:27" s="93" customFormat="1" ht="14.25" customHeight="1" x14ac:dyDescent="0.25">
      <c r="A69" s="52"/>
      <c r="B69" s="104" t="s">
        <v>39</v>
      </c>
      <c r="C69" s="87" t="s">
        <v>146</v>
      </c>
      <c r="D69" s="87" t="s">
        <v>147</v>
      </c>
      <c r="E69" s="86"/>
      <c r="F69" s="89">
        <v>45781</v>
      </c>
      <c r="G69" s="89">
        <v>45784</v>
      </c>
      <c r="H69" s="92"/>
      <c r="I69" s="92">
        <v>0.79166666666666663</v>
      </c>
      <c r="J69" s="89"/>
      <c r="K69" s="89"/>
      <c r="L69" s="89"/>
      <c r="M69" s="89"/>
      <c r="N69" s="89"/>
      <c r="O69" s="86" t="s">
        <v>229</v>
      </c>
      <c r="P69" s="86"/>
      <c r="Q69" s="90">
        <v>45</v>
      </c>
      <c r="R69" s="221">
        <v>4</v>
      </c>
      <c r="S69" s="90"/>
      <c r="T69" s="90"/>
      <c r="U69" s="14"/>
      <c r="V69" s="14"/>
      <c r="W69" s="14"/>
      <c r="X69" s="86"/>
      <c r="Y69" s="59">
        <f ca="1">Table210[[#This Row],[End Date]]+2-TODAY()</f>
        <v>-32</v>
      </c>
      <c r="Z69" s="14">
        <f>IF(ISBLANK(Table210[[#This Row],[Roster Received By]]),1,0)</f>
        <v>1</v>
      </c>
      <c r="AA69" s="14">
        <f ca="1">IF(Table210[[#This Row],[Start Date]]&gt;TODAY(),1,)</f>
        <v>0</v>
      </c>
    </row>
    <row r="70" spans="1:27" s="93" customFormat="1" ht="14.25" customHeight="1" x14ac:dyDescent="0.25">
      <c r="A70" s="52"/>
      <c r="B70" s="86" t="s">
        <v>39</v>
      </c>
      <c r="C70" s="87" t="s">
        <v>146</v>
      </c>
      <c r="D70" s="87" t="s">
        <v>147</v>
      </c>
      <c r="E70" s="86"/>
      <c r="F70" s="89">
        <v>45796</v>
      </c>
      <c r="G70" s="89">
        <v>45799</v>
      </c>
      <c r="H70" s="92"/>
      <c r="I70" s="92">
        <v>0.33333333333333331</v>
      </c>
      <c r="J70" s="89"/>
      <c r="K70" s="89"/>
      <c r="L70" s="89"/>
      <c r="M70" s="89"/>
      <c r="N70" s="89"/>
      <c r="O70" s="86" t="s">
        <v>229</v>
      </c>
      <c r="P70" s="86"/>
      <c r="Q70" s="90">
        <v>45</v>
      </c>
      <c r="R70" s="221">
        <v>4</v>
      </c>
      <c r="S70" s="90"/>
      <c r="T70" s="90"/>
      <c r="U70" s="14"/>
      <c r="V70" s="14"/>
      <c r="W70" s="14"/>
      <c r="X70" s="86"/>
      <c r="Y70" s="59">
        <f ca="1">Table210[[#This Row],[End Date]]+2-TODAY()</f>
        <v>-17</v>
      </c>
      <c r="Z70" s="14">
        <f>IF(ISBLANK(Table210[[#This Row],[Roster Received By]]),1,0)</f>
        <v>1</v>
      </c>
      <c r="AA70" s="14">
        <f ca="1">IF(Table210[[#This Row],[Start Date]]&gt;TODAY(),1,)</f>
        <v>0</v>
      </c>
    </row>
    <row r="71" spans="1:27" s="93" customFormat="1" ht="14.25" customHeight="1" x14ac:dyDescent="0.25">
      <c r="A71" s="52"/>
      <c r="B71" s="86" t="s">
        <v>39</v>
      </c>
      <c r="C71" s="87" t="s">
        <v>146</v>
      </c>
      <c r="D71" s="87" t="s">
        <v>147</v>
      </c>
      <c r="E71" s="86"/>
      <c r="F71" s="89">
        <v>45817</v>
      </c>
      <c r="G71" s="89">
        <v>45820</v>
      </c>
      <c r="H71" s="95"/>
      <c r="I71" s="95">
        <v>0.54166666666666663</v>
      </c>
      <c r="J71" s="89"/>
      <c r="K71" s="89"/>
      <c r="L71" s="89"/>
      <c r="M71" s="89"/>
      <c r="N71" s="89"/>
      <c r="O71" s="86" t="s">
        <v>229</v>
      </c>
      <c r="P71" s="86"/>
      <c r="Q71" s="90">
        <v>45</v>
      </c>
      <c r="R71" s="221">
        <v>4</v>
      </c>
      <c r="S71" s="90"/>
      <c r="T71" s="90"/>
      <c r="U71" s="14"/>
      <c r="V71" s="14"/>
      <c r="W71" s="14"/>
      <c r="X71" s="86"/>
      <c r="Y71" s="59">
        <f ca="1">Table210[[#This Row],[End Date]]+2-TODAY()</f>
        <v>4</v>
      </c>
      <c r="Z71" s="14">
        <f>IF(ISBLANK(Table210[[#This Row],[Roster Received By]]),1,0)</f>
        <v>1</v>
      </c>
      <c r="AA71" s="14">
        <f ca="1">IF(Table210[[#This Row],[Start Date]]&gt;TODAY(),1,)</f>
        <v>0</v>
      </c>
    </row>
    <row r="72" spans="1:27" s="93" customFormat="1" ht="16.5" customHeight="1" x14ac:dyDescent="0.25">
      <c r="A72" s="52"/>
      <c r="B72" s="86" t="s">
        <v>39</v>
      </c>
      <c r="C72" s="87" t="s">
        <v>146</v>
      </c>
      <c r="D72" s="87" t="s">
        <v>147</v>
      </c>
      <c r="E72" s="86"/>
      <c r="F72" s="89">
        <v>45845</v>
      </c>
      <c r="G72" s="89">
        <v>45848</v>
      </c>
      <c r="H72" s="95"/>
      <c r="I72" s="95">
        <v>0.54166666666666663</v>
      </c>
      <c r="J72" s="89"/>
      <c r="K72" s="89"/>
      <c r="L72" s="89"/>
      <c r="M72" s="89"/>
      <c r="N72" s="89"/>
      <c r="O72" s="86" t="s">
        <v>229</v>
      </c>
      <c r="P72" s="86"/>
      <c r="Q72" s="90">
        <v>45</v>
      </c>
      <c r="R72" s="221">
        <v>4</v>
      </c>
      <c r="S72" s="90"/>
      <c r="T72" s="90"/>
      <c r="U72" s="14"/>
      <c r="V72" s="14"/>
      <c r="W72" s="87"/>
      <c r="X72" s="86"/>
      <c r="Y72" s="59">
        <f ca="1">Table210[[#This Row],[End Date]]+2-TODAY()</f>
        <v>32</v>
      </c>
      <c r="Z72" s="14">
        <f>IF(ISBLANK(Table210[[#This Row],[Roster Received By]]),1,0)</f>
        <v>1</v>
      </c>
      <c r="AA72" s="14">
        <f ca="1">IF(Table210[[#This Row],[Start Date]]&gt;TODAY(),1,)</f>
        <v>1</v>
      </c>
    </row>
    <row r="73" spans="1:27" s="93" customFormat="1" ht="14.25" customHeight="1" x14ac:dyDescent="0.25">
      <c r="A73" s="52"/>
      <c r="B73" s="86" t="s">
        <v>39</v>
      </c>
      <c r="C73" s="87" t="s">
        <v>146</v>
      </c>
      <c r="D73" s="87" t="s">
        <v>147</v>
      </c>
      <c r="E73" s="86"/>
      <c r="F73" s="89">
        <v>45865</v>
      </c>
      <c r="G73" s="89">
        <v>45869</v>
      </c>
      <c r="H73" s="95"/>
      <c r="I73" s="95">
        <v>0.79166666666666663</v>
      </c>
      <c r="J73" s="89"/>
      <c r="K73" s="89"/>
      <c r="L73" s="89"/>
      <c r="M73" s="89"/>
      <c r="N73" s="89"/>
      <c r="O73" s="86" t="s">
        <v>229</v>
      </c>
      <c r="P73" s="86"/>
      <c r="Q73" s="90">
        <v>45</v>
      </c>
      <c r="R73" s="221">
        <v>4</v>
      </c>
      <c r="S73" s="90"/>
      <c r="T73" s="90"/>
      <c r="U73" s="14"/>
      <c r="V73" s="14"/>
      <c r="W73" s="87"/>
      <c r="X73" s="86"/>
      <c r="Y73" s="59">
        <f ca="1">Table210[[#This Row],[End Date]]+2-TODAY()</f>
        <v>53</v>
      </c>
      <c r="Z73" s="14">
        <f>IF(ISBLANK(Table210[[#This Row],[Roster Received By]]),1,0)</f>
        <v>1</v>
      </c>
      <c r="AA73" s="14">
        <f ca="1">IF(Table210[[#This Row],[Start Date]]&gt;TODAY(),1,)</f>
        <v>1</v>
      </c>
    </row>
    <row r="74" spans="1:27" s="93" customFormat="1" ht="16.5" customHeight="1" x14ac:dyDescent="0.25">
      <c r="A74" s="52"/>
      <c r="B74" s="86" t="s">
        <v>39</v>
      </c>
      <c r="C74" s="87" t="s">
        <v>146</v>
      </c>
      <c r="D74" s="87" t="s">
        <v>147</v>
      </c>
      <c r="E74" s="86"/>
      <c r="F74" s="89">
        <v>45880</v>
      </c>
      <c r="G74" s="89">
        <v>45883</v>
      </c>
      <c r="H74" s="95"/>
      <c r="I74" s="95">
        <v>0.54166666666666663</v>
      </c>
      <c r="J74" s="89"/>
      <c r="K74" s="89"/>
      <c r="L74" s="89"/>
      <c r="M74" s="89"/>
      <c r="N74" s="89"/>
      <c r="O74" s="86" t="s">
        <v>229</v>
      </c>
      <c r="P74" s="86"/>
      <c r="Q74" s="90">
        <v>45</v>
      </c>
      <c r="R74" s="221">
        <v>4</v>
      </c>
      <c r="S74" s="90"/>
      <c r="T74" s="90"/>
      <c r="U74" s="14"/>
      <c r="V74" s="14"/>
      <c r="W74" s="87"/>
      <c r="X74" s="86"/>
      <c r="Y74" s="59">
        <f ca="1">Table210[[#This Row],[End Date]]+2-TODAY()</f>
        <v>67</v>
      </c>
      <c r="Z74" s="14">
        <f>IF(ISBLANK(Table210[[#This Row],[Roster Received By]]),1,0)</f>
        <v>1</v>
      </c>
      <c r="AA74" s="14">
        <f ca="1">IF(Table210[[#This Row],[Start Date]]&gt;TODAY(),1,)</f>
        <v>1</v>
      </c>
    </row>
    <row r="75" spans="1:27" s="122" customFormat="1" ht="14.25" customHeight="1" x14ac:dyDescent="0.25">
      <c r="A75" s="52"/>
      <c r="B75" s="86" t="s">
        <v>39</v>
      </c>
      <c r="C75" s="87" t="s">
        <v>146</v>
      </c>
      <c r="D75" s="87" t="s">
        <v>147</v>
      </c>
      <c r="E75" s="54"/>
      <c r="F75" s="89">
        <v>45908</v>
      </c>
      <c r="G75" s="89">
        <v>45911</v>
      </c>
      <c r="H75" s="95"/>
      <c r="I75" s="95">
        <v>0.54166666666666663</v>
      </c>
      <c r="J75" s="89"/>
      <c r="K75" s="89"/>
      <c r="L75" s="89"/>
      <c r="M75" s="89"/>
      <c r="N75" s="89"/>
      <c r="O75" s="86" t="s">
        <v>229</v>
      </c>
      <c r="P75" s="86"/>
      <c r="Q75" s="14">
        <v>45</v>
      </c>
      <c r="R75" s="199">
        <v>4</v>
      </c>
      <c r="S75" s="14"/>
      <c r="T75" s="90"/>
      <c r="U75" s="14"/>
      <c r="V75" s="14"/>
      <c r="W75" s="14"/>
      <c r="X75" s="86"/>
      <c r="Y75" s="59">
        <f ca="1">Table210[[#This Row],[End Date]]+2-TODAY()</f>
        <v>95</v>
      </c>
      <c r="Z75" s="14">
        <f>IF(ISBLANK(Table210[[#This Row],[Roster Received By]]),1,0)</f>
        <v>1</v>
      </c>
      <c r="AA75" s="14">
        <f ca="1">IF(Table210[[#This Row],[Start Date]]&gt;TODAY(),1,)</f>
        <v>1</v>
      </c>
    </row>
    <row r="76" spans="1:27" s="93" customFormat="1" ht="14.25" customHeight="1" x14ac:dyDescent="0.25">
      <c r="A76" s="138" t="s">
        <v>488</v>
      </c>
      <c r="B76" s="139" t="s">
        <v>350</v>
      </c>
      <c r="C76" s="141" t="s">
        <v>351</v>
      </c>
      <c r="D76" s="141" t="s">
        <v>351</v>
      </c>
      <c r="E76" s="139"/>
      <c r="F76" s="142">
        <v>45761</v>
      </c>
      <c r="G76" s="142">
        <v>45765</v>
      </c>
      <c r="H76" s="142"/>
      <c r="I76" s="143"/>
      <c r="J76" s="145"/>
      <c r="K76" s="145"/>
      <c r="L76" s="145"/>
      <c r="M76" s="145"/>
      <c r="N76" s="145"/>
      <c r="O76" s="139"/>
      <c r="P76" s="139"/>
      <c r="Q76" s="144">
        <v>0</v>
      </c>
      <c r="R76" s="144">
        <v>0</v>
      </c>
      <c r="S76" s="144"/>
      <c r="T76" s="169"/>
      <c r="U76" s="144"/>
      <c r="V76" s="144"/>
      <c r="W76" s="144"/>
      <c r="X76" s="139"/>
      <c r="Y76" s="170">
        <f ca="1">Table210[[#This Row],[End Date]]+2-TODAY()</f>
        <v>-51</v>
      </c>
      <c r="Z76" s="144">
        <f>IF(ISBLANK(Table210[[#This Row],[Roster Received By]]),1,0)</f>
        <v>1</v>
      </c>
      <c r="AA76" s="144">
        <f ca="1">IF(Table210[[#This Row],[Start Date]]&gt;TODAY(),1,)</f>
        <v>0</v>
      </c>
    </row>
    <row r="77" spans="1:27" s="93" customFormat="1" ht="14.25" customHeight="1" x14ac:dyDescent="0.25">
      <c r="A77" s="138" t="s">
        <v>489</v>
      </c>
      <c r="B77" s="139" t="s">
        <v>350</v>
      </c>
      <c r="C77" s="141" t="s">
        <v>351</v>
      </c>
      <c r="D77" s="141" t="s">
        <v>351</v>
      </c>
      <c r="E77" s="139"/>
      <c r="F77" s="142">
        <v>45768</v>
      </c>
      <c r="G77" s="142">
        <v>45773</v>
      </c>
      <c r="H77" s="142"/>
      <c r="I77" s="143"/>
      <c r="J77" s="145"/>
      <c r="K77" s="145"/>
      <c r="L77" s="145"/>
      <c r="M77" s="145"/>
      <c r="N77" s="145"/>
      <c r="O77" s="139"/>
      <c r="P77" s="139"/>
      <c r="Q77" s="144">
        <v>0</v>
      </c>
      <c r="R77" s="144">
        <v>0</v>
      </c>
      <c r="S77" s="144"/>
      <c r="T77" s="169"/>
      <c r="U77" s="144"/>
      <c r="V77" s="144"/>
      <c r="W77" s="144"/>
      <c r="X77" s="139"/>
      <c r="Y77" s="170">
        <f ca="1">Table210[[#This Row],[End Date]]+2-TODAY()</f>
        <v>-43</v>
      </c>
      <c r="Z77" s="144">
        <f>IF(ISBLANK(Table210[[#This Row],[Roster Received By]]),1,0)</f>
        <v>1</v>
      </c>
      <c r="AA77" s="144">
        <f ca="1">IF(Table210[[#This Row],[Start Date]]&gt;TODAY(),1,)</f>
        <v>0</v>
      </c>
    </row>
    <row r="78" spans="1:27" s="93" customFormat="1" ht="14.25" customHeight="1" x14ac:dyDescent="0.25">
      <c r="A78" s="87"/>
      <c r="B78" s="86" t="s">
        <v>40</v>
      </c>
      <c r="C78" s="87" t="s">
        <v>150</v>
      </c>
      <c r="D78" s="87" t="s">
        <v>151</v>
      </c>
      <c r="E78" s="86"/>
      <c r="F78" s="89">
        <v>45565</v>
      </c>
      <c r="G78" s="89">
        <v>45569</v>
      </c>
      <c r="H78" s="92"/>
      <c r="I78" s="92">
        <v>0.33333333333333331</v>
      </c>
      <c r="J78" s="89"/>
      <c r="K78" s="89"/>
      <c r="L78" s="89"/>
      <c r="M78" s="89"/>
      <c r="N78" s="89"/>
      <c r="O78" s="86" t="s">
        <v>468</v>
      </c>
      <c r="P78" s="86"/>
      <c r="Q78" s="201">
        <v>100</v>
      </c>
      <c r="R78" s="221">
        <v>5</v>
      </c>
      <c r="S78" s="201"/>
      <c r="T78" s="201"/>
      <c r="U78" s="94"/>
      <c r="V78" s="94"/>
      <c r="W78" s="94"/>
      <c r="X78" s="94"/>
      <c r="Y78" s="222">
        <f ca="1">Table210[[#This Row],[End Date]]+2-TODAY()</f>
        <v>-247</v>
      </c>
      <c r="Z78" s="87">
        <f>IF(ISBLANK(Table210[[#This Row],[Roster Received By]]),1,0)</f>
        <v>1</v>
      </c>
      <c r="AA78" s="87">
        <f ca="1">IF(Table210[[#This Row],[Start Date]]&gt;TODAY(),1,)</f>
        <v>0</v>
      </c>
    </row>
    <row r="79" spans="1:27" s="93" customFormat="1" ht="14.25" customHeight="1" x14ac:dyDescent="0.25">
      <c r="A79" s="86"/>
      <c r="B79" s="86" t="s">
        <v>40</v>
      </c>
      <c r="C79" s="87" t="s">
        <v>150</v>
      </c>
      <c r="D79" s="87" t="s">
        <v>151</v>
      </c>
      <c r="E79" s="86"/>
      <c r="F79" s="89">
        <v>45592</v>
      </c>
      <c r="G79" s="89">
        <v>45596</v>
      </c>
      <c r="H79" s="92"/>
      <c r="I79" s="92">
        <v>0.79166666666666663</v>
      </c>
      <c r="J79" s="89"/>
      <c r="K79" s="89"/>
      <c r="L79" s="89"/>
      <c r="M79" s="89"/>
      <c r="N79" s="89"/>
      <c r="O79" s="86" t="s">
        <v>468</v>
      </c>
      <c r="P79" s="86"/>
      <c r="Q79" s="90">
        <v>100</v>
      </c>
      <c r="R79" s="221">
        <v>5</v>
      </c>
      <c r="S79" s="90"/>
      <c r="T79" s="90"/>
      <c r="U79" s="14"/>
      <c r="V79" s="14"/>
      <c r="W79" s="14"/>
      <c r="X79" s="86"/>
      <c r="Y79" s="59">
        <f ca="1">Table210[[#This Row],[End Date]]+2-TODAY()</f>
        <v>-220</v>
      </c>
      <c r="Z79" s="14">
        <f>IF(ISBLANK(Table210[[#This Row],[Roster Received By]]),1,0)</f>
        <v>1</v>
      </c>
      <c r="AA79" s="14">
        <f ca="1">IF(Table210[[#This Row],[Start Date]]&gt;TODAY(),1,)</f>
        <v>0</v>
      </c>
    </row>
    <row r="80" spans="1:27" s="93" customFormat="1" ht="14.25" customHeight="1" x14ac:dyDescent="0.25">
      <c r="A80" s="52"/>
      <c r="B80" s="86" t="s">
        <v>40</v>
      </c>
      <c r="C80" s="87" t="s">
        <v>150</v>
      </c>
      <c r="D80" s="87" t="s">
        <v>151</v>
      </c>
      <c r="E80" s="86"/>
      <c r="F80" s="89">
        <v>45614</v>
      </c>
      <c r="G80" s="89">
        <v>45618</v>
      </c>
      <c r="H80" s="92"/>
      <c r="I80" s="92">
        <v>0.54166666666666663</v>
      </c>
      <c r="J80" s="89"/>
      <c r="K80" s="89"/>
      <c r="L80" s="89"/>
      <c r="M80" s="89"/>
      <c r="N80" s="89"/>
      <c r="O80" s="86" t="s">
        <v>229</v>
      </c>
      <c r="P80" s="86"/>
      <c r="Q80" s="90">
        <v>100</v>
      </c>
      <c r="R80" s="221">
        <v>5</v>
      </c>
      <c r="S80" s="90"/>
      <c r="T80" s="90"/>
      <c r="U80" s="14"/>
      <c r="V80" s="14"/>
      <c r="W80" s="87"/>
      <c r="X80" s="86"/>
      <c r="Y80" s="59">
        <f ca="1">Table210[[#This Row],[End Date]]+2-TODAY()</f>
        <v>-198</v>
      </c>
      <c r="Z80" s="14">
        <f>IF(ISBLANK(Table210[[#This Row],[Roster Received By]]),1,0)</f>
        <v>1</v>
      </c>
      <c r="AA80" s="14">
        <f ca="1">IF(Table210[[#This Row],[Start Date]]&gt;TODAY(),1,)</f>
        <v>0</v>
      </c>
    </row>
    <row r="81" spans="1:27" s="93" customFormat="1" ht="14.25" customHeight="1" x14ac:dyDescent="0.25">
      <c r="A81" s="52"/>
      <c r="B81" s="86" t="s">
        <v>40</v>
      </c>
      <c r="C81" s="87" t="s">
        <v>150</v>
      </c>
      <c r="D81" s="87" t="s">
        <v>151</v>
      </c>
      <c r="E81" s="86"/>
      <c r="F81" s="89">
        <v>45635</v>
      </c>
      <c r="G81" s="89">
        <v>45639</v>
      </c>
      <c r="H81" s="95"/>
      <c r="I81" s="92">
        <v>0.54166666666666663</v>
      </c>
      <c r="J81" s="89"/>
      <c r="K81" s="89"/>
      <c r="L81" s="89"/>
      <c r="M81" s="89"/>
      <c r="N81" s="89"/>
      <c r="O81" s="86" t="s">
        <v>468</v>
      </c>
      <c r="P81" s="86"/>
      <c r="Q81" s="90">
        <v>100</v>
      </c>
      <c r="R81" s="221">
        <v>5</v>
      </c>
      <c r="S81" s="90"/>
      <c r="T81" s="90"/>
      <c r="U81" s="14"/>
      <c r="V81" s="14"/>
      <c r="W81" s="14"/>
      <c r="X81" s="86"/>
      <c r="Y81" s="59">
        <f ca="1">Table210[[#This Row],[End Date]]+2-TODAY()</f>
        <v>-177</v>
      </c>
      <c r="Z81" s="14">
        <f>IF(ISBLANK(Table210[[#This Row],[Roster Received By]]),1,0)</f>
        <v>1</v>
      </c>
      <c r="AA81" s="14">
        <f ca="1">IF(Table210[[#This Row],[Start Date]]&gt;TODAY(),1,)</f>
        <v>0</v>
      </c>
    </row>
    <row r="82" spans="1:27" s="93" customFormat="1" ht="14.25" customHeight="1" x14ac:dyDescent="0.25">
      <c r="A82" s="52"/>
      <c r="B82" s="86" t="s">
        <v>40</v>
      </c>
      <c r="C82" s="87" t="s">
        <v>150</v>
      </c>
      <c r="D82" s="87" t="s">
        <v>151</v>
      </c>
      <c r="E82" s="86"/>
      <c r="F82" s="89">
        <v>45662</v>
      </c>
      <c r="G82" s="89">
        <v>45666</v>
      </c>
      <c r="H82" s="95"/>
      <c r="I82" s="92">
        <v>0.79166666666666663</v>
      </c>
      <c r="J82" s="89"/>
      <c r="K82" s="89"/>
      <c r="L82" s="89"/>
      <c r="M82" s="89"/>
      <c r="N82" s="89"/>
      <c r="O82" s="86" t="s">
        <v>244</v>
      </c>
      <c r="P82" s="86"/>
      <c r="Q82" s="90">
        <v>100</v>
      </c>
      <c r="R82" s="221">
        <v>5</v>
      </c>
      <c r="S82" s="90"/>
      <c r="T82" s="90"/>
      <c r="U82" s="14"/>
      <c r="V82" s="14"/>
      <c r="W82" s="14"/>
      <c r="X82" s="86"/>
      <c r="Y82" s="59">
        <f ca="1">Table210[[#This Row],[End Date]]+2-TODAY()</f>
        <v>-150</v>
      </c>
      <c r="Z82" s="14">
        <f>IF(ISBLANK(Table210[[#This Row],[Roster Received By]]),1,0)</f>
        <v>1</v>
      </c>
      <c r="AA82" s="14">
        <f ca="1">IF(Table210[[#This Row],[Start Date]]&gt;TODAY(),1,)</f>
        <v>0</v>
      </c>
    </row>
    <row r="83" spans="1:27" s="93" customFormat="1" ht="14.25" customHeight="1" x14ac:dyDescent="0.25">
      <c r="A83" s="52"/>
      <c r="B83" s="86" t="s">
        <v>40</v>
      </c>
      <c r="C83" s="87" t="s">
        <v>150</v>
      </c>
      <c r="D83" s="87" t="s">
        <v>151</v>
      </c>
      <c r="E83" s="86"/>
      <c r="F83" s="89">
        <v>45684</v>
      </c>
      <c r="G83" s="89">
        <v>45688</v>
      </c>
      <c r="H83" s="95"/>
      <c r="I83" s="92">
        <v>0.33333333333333331</v>
      </c>
      <c r="J83" s="89"/>
      <c r="K83" s="89"/>
      <c r="L83" s="89"/>
      <c r="M83" s="89"/>
      <c r="N83" s="89"/>
      <c r="O83" s="86" t="s">
        <v>244</v>
      </c>
      <c r="P83" s="86"/>
      <c r="Q83" s="90">
        <v>100</v>
      </c>
      <c r="R83" s="221">
        <v>5</v>
      </c>
      <c r="S83" s="90"/>
      <c r="T83" s="90"/>
      <c r="U83" s="14"/>
      <c r="V83" s="14"/>
      <c r="W83" s="14"/>
      <c r="X83" s="86"/>
      <c r="Y83" s="59">
        <f ca="1">Table210[[#This Row],[End Date]]+2-TODAY()</f>
        <v>-128</v>
      </c>
      <c r="Z83" s="14">
        <f>IF(ISBLANK(Table210[[#This Row],[Roster Received By]]),1,0)</f>
        <v>1</v>
      </c>
      <c r="AA83" s="14">
        <f ca="1">IF(Table210[[#This Row],[Start Date]]&gt;TODAY(),1,)</f>
        <v>0</v>
      </c>
    </row>
    <row r="84" spans="1:27" s="93" customFormat="1" ht="14.25" customHeight="1" x14ac:dyDescent="0.25">
      <c r="A84" s="52"/>
      <c r="B84" s="86" t="s">
        <v>40</v>
      </c>
      <c r="C84" s="87" t="s">
        <v>150</v>
      </c>
      <c r="D84" s="87" t="s">
        <v>151</v>
      </c>
      <c r="E84" s="86"/>
      <c r="F84" s="89">
        <v>45698</v>
      </c>
      <c r="G84" s="89">
        <v>45702</v>
      </c>
      <c r="H84" s="95"/>
      <c r="I84" s="95">
        <v>0.54166666666666663</v>
      </c>
      <c r="J84" s="89"/>
      <c r="K84" s="89"/>
      <c r="L84" s="89"/>
      <c r="M84" s="89"/>
      <c r="N84" s="89"/>
      <c r="O84" s="86" t="s">
        <v>244</v>
      </c>
      <c r="P84" s="86"/>
      <c r="Q84" s="90">
        <v>100</v>
      </c>
      <c r="R84" s="221">
        <v>5</v>
      </c>
      <c r="S84" s="90"/>
      <c r="T84" s="90"/>
      <c r="U84" s="14"/>
      <c r="V84" s="14"/>
      <c r="W84" s="14"/>
      <c r="X84" s="86"/>
      <c r="Y84" s="59">
        <f ca="1">Table210[[#This Row],[End Date]]+2-TODAY()</f>
        <v>-114</v>
      </c>
      <c r="Z84" s="14">
        <f>IF(ISBLANK(Table210[[#This Row],[Roster Received By]]),1,0)</f>
        <v>1</v>
      </c>
      <c r="AA84" s="14">
        <f ca="1">IF(Table210[[#This Row],[Start Date]]&gt;TODAY(),1,)</f>
        <v>0</v>
      </c>
    </row>
    <row r="85" spans="1:27" s="93" customFormat="1" ht="14.25" customHeight="1" x14ac:dyDescent="0.25">
      <c r="A85" s="52"/>
      <c r="B85" s="86" t="s">
        <v>40</v>
      </c>
      <c r="C85" s="87" t="s">
        <v>150</v>
      </c>
      <c r="D85" s="87" t="s">
        <v>151</v>
      </c>
      <c r="E85" s="86"/>
      <c r="F85" s="89">
        <v>45719</v>
      </c>
      <c r="G85" s="89">
        <v>45723</v>
      </c>
      <c r="H85" s="92"/>
      <c r="I85" s="92">
        <v>0.54166666666666663</v>
      </c>
      <c r="J85" s="89"/>
      <c r="K85" s="89"/>
      <c r="L85" s="89"/>
      <c r="M85" s="89"/>
      <c r="N85" s="89"/>
      <c r="O85" s="86" t="s">
        <v>244</v>
      </c>
      <c r="P85" s="86"/>
      <c r="Q85" s="90">
        <v>100</v>
      </c>
      <c r="R85" s="221">
        <v>5</v>
      </c>
      <c r="S85" s="90"/>
      <c r="T85" s="90"/>
      <c r="U85" s="14"/>
      <c r="V85" s="14"/>
      <c r="W85" s="14"/>
      <c r="X85" s="86"/>
      <c r="Y85" s="59">
        <f ca="1">Table210[[#This Row],[End Date]]+2-TODAY()</f>
        <v>-93</v>
      </c>
      <c r="Z85" s="14">
        <f>IF(ISBLANK(Table210[[#This Row],[Roster Received By]]),1,0)</f>
        <v>1</v>
      </c>
      <c r="AA85" s="14">
        <f ca="1">IF(Table210[[#This Row],[Start Date]]&gt;TODAY(),1,)</f>
        <v>0</v>
      </c>
    </row>
    <row r="86" spans="1:27" s="93" customFormat="1" ht="14.25" customHeight="1" x14ac:dyDescent="0.25">
      <c r="A86" s="52"/>
      <c r="B86" s="86" t="s">
        <v>40</v>
      </c>
      <c r="C86" s="87" t="s">
        <v>150</v>
      </c>
      <c r="D86" s="87" t="s">
        <v>151</v>
      </c>
      <c r="E86" s="86"/>
      <c r="F86" s="89">
        <v>45733</v>
      </c>
      <c r="G86" s="89">
        <v>45737</v>
      </c>
      <c r="H86" s="92"/>
      <c r="I86" s="92">
        <v>0.54166666666666663</v>
      </c>
      <c r="J86" s="89"/>
      <c r="K86" s="89"/>
      <c r="L86" s="89"/>
      <c r="M86" s="89"/>
      <c r="N86" s="89"/>
      <c r="O86" s="86" t="s">
        <v>244</v>
      </c>
      <c r="P86" s="86"/>
      <c r="Q86" s="90">
        <v>100</v>
      </c>
      <c r="R86" s="221">
        <v>5</v>
      </c>
      <c r="S86" s="90"/>
      <c r="T86" s="90"/>
      <c r="U86" s="14"/>
      <c r="V86" s="14"/>
      <c r="W86" s="14"/>
      <c r="X86" s="86"/>
      <c r="Y86" s="59">
        <f ca="1">Table210[[#This Row],[End Date]]+2-TODAY()</f>
        <v>-79</v>
      </c>
      <c r="Z86" s="14">
        <f>IF(ISBLANK(Table210[[#This Row],[Roster Received By]]),1,0)</f>
        <v>1</v>
      </c>
      <c r="AA86" s="14">
        <f ca="1">IF(Table210[[#This Row],[Start Date]]&gt;TODAY(),1,)</f>
        <v>0</v>
      </c>
    </row>
    <row r="87" spans="1:27" s="93" customFormat="1" ht="14.25" customHeight="1" x14ac:dyDescent="0.25">
      <c r="A87" s="52"/>
      <c r="B87" s="86" t="s">
        <v>40</v>
      </c>
      <c r="C87" s="87" t="s">
        <v>150</v>
      </c>
      <c r="D87" s="87" t="s">
        <v>151</v>
      </c>
      <c r="E87" s="86"/>
      <c r="F87" s="89">
        <v>45754</v>
      </c>
      <c r="G87" s="89">
        <v>45758</v>
      </c>
      <c r="H87" s="92"/>
      <c r="I87" s="92">
        <v>0.33333333333333331</v>
      </c>
      <c r="J87" s="89"/>
      <c r="K87" s="89"/>
      <c r="L87" s="89"/>
      <c r="M87" s="89"/>
      <c r="N87" s="89"/>
      <c r="O87" s="86" t="s">
        <v>244</v>
      </c>
      <c r="P87" s="86"/>
      <c r="Q87" s="90">
        <v>100</v>
      </c>
      <c r="R87" s="221">
        <v>5</v>
      </c>
      <c r="S87" s="90"/>
      <c r="T87" s="90"/>
      <c r="U87" s="14"/>
      <c r="V87" s="14"/>
      <c r="W87" s="14"/>
      <c r="X87" s="86"/>
      <c r="Y87" s="59">
        <f ca="1">Table210[[#This Row],[End Date]]+2-TODAY()</f>
        <v>-58</v>
      </c>
      <c r="Z87" s="14">
        <f>IF(ISBLANK(Table210[[#This Row],[Roster Received By]]),1,0)</f>
        <v>1</v>
      </c>
      <c r="AA87" s="14">
        <f ca="1">IF(Table210[[#This Row],[Start Date]]&gt;TODAY(),1,)</f>
        <v>0</v>
      </c>
    </row>
    <row r="88" spans="1:27" s="93" customFormat="1" ht="14.25" customHeight="1" x14ac:dyDescent="0.25">
      <c r="A88" s="52"/>
      <c r="B88" s="86" t="s">
        <v>40</v>
      </c>
      <c r="C88" s="87" t="s">
        <v>150</v>
      </c>
      <c r="D88" s="87" t="s">
        <v>151</v>
      </c>
      <c r="E88" s="86"/>
      <c r="F88" s="89">
        <v>45782</v>
      </c>
      <c r="G88" s="89">
        <v>45786</v>
      </c>
      <c r="H88" s="92"/>
      <c r="I88" s="92">
        <v>0.54166666666666663</v>
      </c>
      <c r="J88" s="89"/>
      <c r="K88" s="89"/>
      <c r="L88" s="89"/>
      <c r="M88" s="89"/>
      <c r="N88" s="89"/>
      <c r="O88" s="86" t="s">
        <v>244</v>
      </c>
      <c r="P88" s="86"/>
      <c r="Q88" s="90">
        <v>100</v>
      </c>
      <c r="R88" s="221">
        <v>5</v>
      </c>
      <c r="S88" s="90"/>
      <c r="T88" s="90"/>
      <c r="U88" s="14"/>
      <c r="V88" s="14"/>
      <c r="W88" s="14"/>
      <c r="X88" s="86"/>
      <c r="Y88" s="59">
        <f ca="1">Table210[[#This Row],[End Date]]+2-TODAY()</f>
        <v>-30</v>
      </c>
      <c r="Z88" s="14">
        <f>IF(ISBLANK(Table210[[#This Row],[Roster Received By]]),1,0)</f>
        <v>1</v>
      </c>
      <c r="AA88" s="14">
        <f ca="1">IF(Table210[[#This Row],[Start Date]]&gt;TODAY(),1,)</f>
        <v>0</v>
      </c>
    </row>
    <row r="89" spans="1:27" s="93" customFormat="1" ht="16.5" customHeight="1" x14ac:dyDescent="0.25">
      <c r="A89" s="52"/>
      <c r="B89" s="86" t="s">
        <v>40</v>
      </c>
      <c r="C89" s="87" t="s">
        <v>150</v>
      </c>
      <c r="D89" s="87" t="s">
        <v>151</v>
      </c>
      <c r="E89" s="86"/>
      <c r="F89" s="89">
        <v>45817</v>
      </c>
      <c r="G89" s="89">
        <v>45821</v>
      </c>
      <c r="H89" s="95"/>
      <c r="I89" s="95">
        <v>0.54166666666666663</v>
      </c>
      <c r="J89" s="89"/>
      <c r="K89" s="89"/>
      <c r="L89" s="89"/>
      <c r="M89" s="89"/>
      <c r="N89" s="89"/>
      <c r="O89" s="86" t="s">
        <v>244</v>
      </c>
      <c r="P89" s="86"/>
      <c r="Q89" s="90">
        <v>100</v>
      </c>
      <c r="R89" s="221">
        <v>5</v>
      </c>
      <c r="S89" s="90"/>
      <c r="T89" s="90"/>
      <c r="U89" s="14"/>
      <c r="V89" s="14"/>
      <c r="W89" s="14"/>
      <c r="X89" s="86"/>
      <c r="Y89" s="59">
        <f ca="1">Table210[[#This Row],[End Date]]+2-TODAY()</f>
        <v>5</v>
      </c>
      <c r="Z89" s="14">
        <f>IF(ISBLANK(Table210[[#This Row],[Roster Received By]]),1,0)</f>
        <v>1</v>
      </c>
      <c r="AA89" s="14">
        <f ca="1">IF(Table210[[#This Row],[Start Date]]&gt;TODAY(),1,)</f>
        <v>0</v>
      </c>
    </row>
    <row r="90" spans="1:27" s="93" customFormat="1" ht="16.5" customHeight="1" x14ac:dyDescent="0.25">
      <c r="A90" s="52"/>
      <c r="B90" s="86" t="s">
        <v>40</v>
      </c>
      <c r="C90" s="87" t="s">
        <v>150</v>
      </c>
      <c r="D90" s="87" t="s">
        <v>151</v>
      </c>
      <c r="E90" s="86"/>
      <c r="F90" s="89">
        <v>45851</v>
      </c>
      <c r="G90" s="89">
        <v>45855</v>
      </c>
      <c r="H90" s="95"/>
      <c r="I90" s="95">
        <v>0.79166666666666663</v>
      </c>
      <c r="J90" s="89"/>
      <c r="K90" s="89"/>
      <c r="L90" s="89"/>
      <c r="M90" s="89"/>
      <c r="N90" s="89"/>
      <c r="O90" s="86" t="s">
        <v>244</v>
      </c>
      <c r="P90" s="86"/>
      <c r="Q90" s="90">
        <v>100</v>
      </c>
      <c r="R90" s="221">
        <v>5</v>
      </c>
      <c r="S90" s="90"/>
      <c r="T90" s="90"/>
      <c r="U90" s="14"/>
      <c r="V90" s="14"/>
      <c r="W90" s="87"/>
      <c r="X90" s="86"/>
      <c r="Y90" s="59">
        <f ca="1">Table210[[#This Row],[End Date]]+2-TODAY()</f>
        <v>39</v>
      </c>
      <c r="Z90" s="14">
        <f>IF(ISBLANK(Table210[[#This Row],[Roster Received By]]),1,0)</f>
        <v>1</v>
      </c>
      <c r="AA90" s="14">
        <f ca="1">IF(Table210[[#This Row],[Start Date]]&gt;TODAY(),1,)</f>
        <v>1</v>
      </c>
    </row>
    <row r="91" spans="1:27" s="93" customFormat="1" ht="14.25" customHeight="1" x14ac:dyDescent="0.25">
      <c r="A91" s="52"/>
      <c r="B91" s="86" t="s">
        <v>40</v>
      </c>
      <c r="C91" s="87" t="s">
        <v>150</v>
      </c>
      <c r="D91" s="87" t="s">
        <v>151</v>
      </c>
      <c r="E91" s="86"/>
      <c r="F91" s="89">
        <v>45873</v>
      </c>
      <c r="G91" s="89">
        <v>45877</v>
      </c>
      <c r="H91" s="95"/>
      <c r="I91" s="95">
        <v>0.33333333333333331</v>
      </c>
      <c r="J91" s="89"/>
      <c r="K91" s="89"/>
      <c r="L91" s="89"/>
      <c r="M91" s="89"/>
      <c r="N91" s="89"/>
      <c r="O91" s="86" t="s">
        <v>244</v>
      </c>
      <c r="P91" s="86"/>
      <c r="Q91" s="90">
        <v>100</v>
      </c>
      <c r="R91" s="221">
        <v>5</v>
      </c>
      <c r="S91" s="90"/>
      <c r="T91" s="90"/>
      <c r="U91" s="14"/>
      <c r="V91" s="14"/>
      <c r="W91" s="87"/>
      <c r="X91" s="86"/>
      <c r="Y91" s="59">
        <f ca="1">Table210[[#This Row],[End Date]]+2-TODAY()</f>
        <v>61</v>
      </c>
      <c r="Z91" s="14">
        <f>IF(ISBLANK(Table210[[#This Row],[Roster Received By]]),1,0)</f>
        <v>1</v>
      </c>
      <c r="AA91" s="14">
        <f ca="1">IF(Table210[[#This Row],[Start Date]]&gt;TODAY(),1,)</f>
        <v>1</v>
      </c>
    </row>
    <row r="92" spans="1:27" s="93" customFormat="1" ht="14.25" customHeight="1" x14ac:dyDescent="0.25">
      <c r="A92" s="52"/>
      <c r="B92" s="86" t="s">
        <v>40</v>
      </c>
      <c r="C92" s="87" t="s">
        <v>150</v>
      </c>
      <c r="D92" s="87" t="s">
        <v>151</v>
      </c>
      <c r="E92" s="86"/>
      <c r="F92" s="89">
        <v>45887</v>
      </c>
      <c r="G92" s="89">
        <v>45891</v>
      </c>
      <c r="H92" s="92"/>
      <c r="I92" s="92">
        <v>0.54166666666666663</v>
      </c>
      <c r="J92" s="89"/>
      <c r="K92" s="89"/>
      <c r="L92" s="89"/>
      <c r="M92" s="89"/>
      <c r="N92" s="89"/>
      <c r="O92" s="86" t="s">
        <v>244</v>
      </c>
      <c r="P92" s="86"/>
      <c r="Q92" s="90">
        <v>100</v>
      </c>
      <c r="R92" s="221">
        <v>5</v>
      </c>
      <c r="S92" s="90"/>
      <c r="T92" s="90"/>
      <c r="U92" s="14"/>
      <c r="V92" s="14"/>
      <c r="W92" s="14"/>
      <c r="X92" s="86"/>
      <c r="Y92" s="59">
        <f ca="1">Table210[[#This Row],[End Date]]+2-TODAY()</f>
        <v>75</v>
      </c>
      <c r="Z92" s="14">
        <f>IF(ISBLANK(Table210[[#This Row],[Roster Received By]]),1,0)</f>
        <v>1</v>
      </c>
      <c r="AA92" s="14">
        <f ca="1">IF(Table210[[#This Row],[Start Date]]&gt;TODAY(),1,)</f>
        <v>1</v>
      </c>
    </row>
    <row r="93" spans="1:27" s="93" customFormat="1" ht="14.25" customHeight="1" x14ac:dyDescent="0.25">
      <c r="A93" s="52"/>
      <c r="B93" s="86" t="s">
        <v>40</v>
      </c>
      <c r="C93" s="87" t="s">
        <v>150</v>
      </c>
      <c r="D93" s="87" t="s">
        <v>151</v>
      </c>
      <c r="E93" s="54"/>
      <c r="F93" s="89">
        <v>45915</v>
      </c>
      <c r="G93" s="89">
        <v>45919</v>
      </c>
      <c r="H93" s="92"/>
      <c r="I93" s="92">
        <v>0.54166666666666663</v>
      </c>
      <c r="J93" s="89"/>
      <c r="K93" s="89"/>
      <c r="L93" s="89"/>
      <c r="M93" s="89"/>
      <c r="N93" s="89"/>
      <c r="O93" s="86" t="s">
        <v>244</v>
      </c>
      <c r="P93" s="86"/>
      <c r="Q93" s="14">
        <v>100</v>
      </c>
      <c r="R93" s="199">
        <v>5</v>
      </c>
      <c r="S93" s="14"/>
      <c r="T93" s="90"/>
      <c r="U93" s="14"/>
      <c r="V93" s="14"/>
      <c r="W93" s="14"/>
      <c r="X93" s="86"/>
      <c r="Y93" s="59">
        <f ca="1">Table210[[#This Row],[End Date]]+2-TODAY()</f>
        <v>103</v>
      </c>
      <c r="Z93" s="14">
        <f>IF(ISBLANK(Table210[[#This Row],[Roster Received By]]),1,0)</f>
        <v>1</v>
      </c>
      <c r="AA93" s="14">
        <f ca="1">IF(Table210[[#This Row],[Start Date]]&gt;TODAY(),1,)</f>
        <v>1</v>
      </c>
    </row>
    <row r="94" spans="1:27" s="93" customFormat="1" ht="14.25" customHeight="1" x14ac:dyDescent="0.25">
      <c r="A94" s="52"/>
      <c r="B94" s="86" t="s">
        <v>54</v>
      </c>
      <c r="C94" s="87" t="s">
        <v>152</v>
      </c>
      <c r="D94" s="87" t="s">
        <v>153</v>
      </c>
      <c r="E94" s="86"/>
      <c r="F94" s="89">
        <v>45614</v>
      </c>
      <c r="G94" s="89">
        <v>45618</v>
      </c>
      <c r="H94" s="92"/>
      <c r="I94" s="92">
        <v>0.54166666666666663</v>
      </c>
      <c r="J94" s="89"/>
      <c r="K94" s="89"/>
      <c r="L94" s="89"/>
      <c r="M94" s="89"/>
      <c r="N94" s="89"/>
      <c r="O94" s="86" t="s">
        <v>490</v>
      </c>
      <c r="P94" s="86"/>
      <c r="Q94" s="90">
        <v>25</v>
      </c>
      <c r="R94" s="221">
        <v>2</v>
      </c>
      <c r="S94" s="90"/>
      <c r="T94" s="90"/>
      <c r="U94" s="14"/>
      <c r="V94" s="14"/>
      <c r="W94" s="87"/>
      <c r="X94" s="86"/>
      <c r="Y94" s="59">
        <f ca="1">Table210[[#This Row],[End Date]]+2-TODAY()</f>
        <v>-198</v>
      </c>
      <c r="Z94" s="14">
        <f>IF(ISBLANK(Table210[[#This Row],[Roster Received By]]),1,0)</f>
        <v>1</v>
      </c>
      <c r="AA94" s="14">
        <f ca="1">IF(Table210[[#This Row],[Start Date]]&gt;TODAY(),1,)</f>
        <v>0</v>
      </c>
    </row>
    <row r="95" spans="1:27" s="126" customFormat="1" ht="14.25" customHeight="1" x14ac:dyDescent="0.25">
      <c r="A95" s="52"/>
      <c r="B95" s="86" t="s">
        <v>54</v>
      </c>
      <c r="C95" s="87" t="s">
        <v>152</v>
      </c>
      <c r="D95" s="87" t="s">
        <v>153</v>
      </c>
      <c r="E95" s="86"/>
      <c r="F95" s="89">
        <v>45691</v>
      </c>
      <c r="G95" s="89">
        <v>45695</v>
      </c>
      <c r="H95" s="95"/>
      <c r="I95" s="95">
        <v>0.54166666666666663</v>
      </c>
      <c r="J95" s="89"/>
      <c r="K95" s="89"/>
      <c r="L95" s="89"/>
      <c r="M95" s="89"/>
      <c r="N95" s="89"/>
      <c r="O95" s="86" t="s">
        <v>490</v>
      </c>
      <c r="P95" s="86"/>
      <c r="Q95" s="90">
        <v>25</v>
      </c>
      <c r="R95" s="221">
        <v>2</v>
      </c>
      <c r="S95" s="90"/>
      <c r="T95" s="90"/>
      <c r="U95" s="14"/>
      <c r="V95" s="14"/>
      <c r="W95" s="14"/>
      <c r="X95" s="86"/>
      <c r="Y95" s="59">
        <f ca="1">Table210[[#This Row],[End Date]]+2-TODAY()</f>
        <v>-121</v>
      </c>
      <c r="Z95" s="14">
        <f>IF(ISBLANK(Table210[[#This Row],[Roster Received By]]),1,0)</f>
        <v>1</v>
      </c>
      <c r="AA95" s="14">
        <f ca="1">IF(Table210[[#This Row],[Start Date]]&gt;TODAY(),1,)</f>
        <v>0</v>
      </c>
    </row>
    <row r="96" spans="1:27" s="93" customFormat="1" ht="14.25" customHeight="1" x14ac:dyDescent="0.25">
      <c r="A96" s="52"/>
      <c r="B96" s="86" t="s">
        <v>54</v>
      </c>
      <c r="C96" s="87" t="s">
        <v>152</v>
      </c>
      <c r="D96" s="87" t="s">
        <v>153</v>
      </c>
      <c r="E96" s="86"/>
      <c r="F96" s="89">
        <v>45789</v>
      </c>
      <c r="G96" s="89">
        <v>45793</v>
      </c>
      <c r="H96" s="92"/>
      <c r="I96" s="92">
        <v>0.54166666666666663</v>
      </c>
      <c r="J96" s="89"/>
      <c r="K96" s="89"/>
      <c r="L96" s="89"/>
      <c r="M96" s="89"/>
      <c r="N96" s="89"/>
      <c r="O96" s="86" t="s">
        <v>490</v>
      </c>
      <c r="P96" s="86"/>
      <c r="Q96" s="90">
        <v>25</v>
      </c>
      <c r="R96" s="221">
        <v>2</v>
      </c>
      <c r="S96" s="90"/>
      <c r="T96" s="90"/>
      <c r="U96" s="14"/>
      <c r="V96" s="14"/>
      <c r="W96" s="14"/>
      <c r="X96" s="86"/>
      <c r="Y96" s="59">
        <f ca="1">Table210[[#This Row],[End Date]]+2-TODAY()</f>
        <v>-23</v>
      </c>
      <c r="Z96" s="14">
        <f>IF(ISBLANK(Table210[[#This Row],[Roster Received By]]),1,0)</f>
        <v>1</v>
      </c>
      <c r="AA96" s="14">
        <f ca="1">IF(Table210[[#This Row],[Start Date]]&gt;TODAY(),1,)</f>
        <v>0</v>
      </c>
    </row>
    <row r="97" spans="1:27" s="93" customFormat="1" ht="14.25" customHeight="1" x14ac:dyDescent="0.25">
      <c r="A97" s="52"/>
      <c r="B97" s="86" t="s">
        <v>54</v>
      </c>
      <c r="C97" s="87" t="s">
        <v>152</v>
      </c>
      <c r="D97" s="87" t="s">
        <v>153</v>
      </c>
      <c r="E97" s="86"/>
      <c r="F97" s="89">
        <v>45880</v>
      </c>
      <c r="G97" s="89">
        <v>45884</v>
      </c>
      <c r="H97" s="95"/>
      <c r="I97" s="95">
        <v>0.54166666666666663</v>
      </c>
      <c r="J97" s="89"/>
      <c r="K97" s="89"/>
      <c r="L97" s="89"/>
      <c r="M97" s="89"/>
      <c r="N97" s="89"/>
      <c r="O97" s="86" t="s">
        <v>490</v>
      </c>
      <c r="P97" s="86"/>
      <c r="Q97" s="90">
        <v>25</v>
      </c>
      <c r="R97" s="221">
        <v>2</v>
      </c>
      <c r="S97" s="90"/>
      <c r="T97" s="90"/>
      <c r="U97" s="14"/>
      <c r="V97" s="14"/>
      <c r="W97" s="87"/>
      <c r="X97" s="86"/>
      <c r="Y97" s="59">
        <f ca="1">Table210[[#This Row],[End Date]]+2-TODAY()</f>
        <v>68</v>
      </c>
      <c r="Z97" s="14">
        <f>IF(ISBLANK(Table210[[#This Row],[Roster Received By]]),1,0)</f>
        <v>1</v>
      </c>
      <c r="AA97" s="14">
        <f ca="1">IF(Table210[[#This Row],[Start Date]]&gt;TODAY(),1,)</f>
        <v>1</v>
      </c>
    </row>
    <row r="98" spans="1:27" s="93" customFormat="1" ht="14.25" customHeight="1" x14ac:dyDescent="0.25">
      <c r="A98" s="156" t="s">
        <v>62</v>
      </c>
      <c r="B98" s="156">
        <f>SUBTOTAL(103,Table210[Course Title])</f>
        <v>94</v>
      </c>
      <c r="C98" s="156"/>
      <c r="D98" s="156"/>
      <c r="E98" s="156"/>
      <c r="F98" s="157"/>
      <c r="G98" s="157"/>
      <c r="H98" s="156"/>
      <c r="I98" s="156"/>
      <c r="J98" s="156"/>
      <c r="K98" s="156"/>
      <c r="L98" s="156"/>
      <c r="M98" s="156"/>
      <c r="N98" s="156"/>
      <c r="O98" s="156"/>
      <c r="P98" s="156"/>
      <c r="Q98" s="158">
        <f>SUBTOTAL(109,Q4:Q97)</f>
        <v>4130</v>
      </c>
      <c r="R98" s="158">
        <f>SUBTOTAL(109,Table210[Course Length (Days)])</f>
        <v>340</v>
      </c>
      <c r="S98" s="158">
        <f>SUBTOTAL(109,S4:S97)</f>
        <v>0</v>
      </c>
      <c r="T98" s="158">
        <f>SUBTOTAL(109,T4:T97)</f>
        <v>0</v>
      </c>
      <c r="U98" s="158">
        <f>SUBTOTAL(109,U4:U97)</f>
        <v>0</v>
      </c>
      <c r="V98" s="158">
        <f>SUBTOTAL(109,V4:V97)</f>
        <v>0</v>
      </c>
      <c r="W98" s="158">
        <f>SUBTOTAL(109,W4:W97)</f>
        <v>0</v>
      </c>
      <c r="X98" s="156">
        <f>SUBTOTAL(103,Table210[Roster Received By])</f>
        <v>0</v>
      </c>
      <c r="Y98" s="159"/>
      <c r="Z98" s="156"/>
      <c r="AA98" s="156"/>
    </row>
    <row r="99" spans="1:27" s="93" customFormat="1" ht="14.25" customHeight="1" x14ac:dyDescent="0.25">
      <c r="A99" s="8"/>
      <c r="B99" s="9"/>
      <c r="C99" s="2"/>
      <c r="D99" s="11"/>
      <c r="E99" s="9"/>
      <c r="F99" s="10"/>
      <c r="G99" s="10"/>
      <c r="H99" s="33"/>
      <c r="I99" s="33"/>
      <c r="J99" s="33"/>
      <c r="K99" s="33"/>
      <c r="L99" s="33"/>
      <c r="M99" s="33"/>
      <c r="N99" s="33"/>
      <c r="O99" s="9"/>
      <c r="P99" s="9"/>
      <c r="Q99" s="8"/>
      <c r="R99" s="8"/>
      <c r="S99" s="12"/>
      <c r="T99" s="32"/>
      <c r="U99" s="32"/>
      <c r="V99" s="32"/>
      <c r="W99" s="32"/>
      <c r="X99" s="8"/>
      <c r="Y99" s="32"/>
      <c r="Z99" s="8"/>
      <c r="AA99" s="8"/>
    </row>
    <row r="100" spans="1:27" s="122" customFormat="1" ht="14.25" customHeight="1" x14ac:dyDescent="0.25">
      <c r="A100" s="8"/>
      <c r="B100" s="9"/>
      <c r="C100" s="2"/>
      <c r="D100" s="11"/>
      <c r="E100" s="9"/>
      <c r="F100" s="10"/>
      <c r="G100" s="10"/>
      <c r="H100" s="33"/>
      <c r="I100" s="33"/>
      <c r="J100" s="33"/>
      <c r="K100" s="33"/>
      <c r="L100" s="33"/>
      <c r="M100" s="33"/>
      <c r="N100" s="33"/>
      <c r="O100" s="9"/>
      <c r="P100" s="9"/>
      <c r="Q100" s="8"/>
      <c r="R100" s="8"/>
      <c r="S100" s="12"/>
      <c r="T100" s="32"/>
      <c r="U100" s="32"/>
      <c r="V100" s="32"/>
      <c r="W100" s="32"/>
      <c r="X100" s="8"/>
      <c r="Y100" s="32"/>
      <c r="Z100" s="8"/>
      <c r="AA100" s="8"/>
    </row>
    <row r="101" spans="1:27" s="93" customFormat="1" ht="14.25" customHeight="1" x14ac:dyDescent="0.25">
      <c r="A101" s="8"/>
      <c r="B101" s="9"/>
      <c r="C101" s="2"/>
      <c r="D101" s="11"/>
      <c r="E101" s="9"/>
      <c r="F101" s="10"/>
      <c r="G101" s="10"/>
      <c r="H101" s="33"/>
      <c r="I101" s="33"/>
      <c r="J101" s="33"/>
      <c r="K101" s="33"/>
      <c r="L101" s="33"/>
      <c r="M101" s="33"/>
      <c r="N101" s="33"/>
      <c r="O101" s="9"/>
      <c r="P101" s="9"/>
      <c r="Q101" s="8"/>
      <c r="R101" s="8"/>
      <c r="S101" s="12"/>
      <c r="T101" s="32"/>
      <c r="U101" s="32"/>
      <c r="V101" s="32"/>
      <c r="W101" s="32"/>
      <c r="X101" s="8"/>
      <c r="Y101" s="32"/>
      <c r="Z101" s="8"/>
      <c r="AA101" s="8"/>
    </row>
    <row r="102" spans="1:27" s="93" customFormat="1" ht="14.25" customHeight="1" x14ac:dyDescent="0.25">
      <c r="A102" s="8"/>
      <c r="B102" s="9"/>
      <c r="C102" s="2"/>
      <c r="D102" s="11"/>
      <c r="E102" s="9"/>
      <c r="F102" s="10"/>
      <c r="G102" s="10"/>
      <c r="H102" s="33"/>
      <c r="I102" s="33"/>
      <c r="J102" s="33"/>
      <c r="K102" s="33"/>
      <c r="L102" s="33"/>
      <c r="M102" s="33"/>
      <c r="N102" s="33"/>
      <c r="O102" s="9"/>
      <c r="P102" s="9"/>
      <c r="Q102" s="8"/>
      <c r="R102" s="8"/>
      <c r="S102" s="12"/>
      <c r="T102" s="32"/>
      <c r="U102" s="32"/>
      <c r="V102" s="32"/>
      <c r="W102" s="32"/>
      <c r="X102" s="8"/>
      <c r="Y102" s="32"/>
      <c r="Z102" s="8"/>
      <c r="AA102" s="8"/>
    </row>
    <row r="103" spans="1:27" s="93" customFormat="1" ht="14.25" customHeight="1" x14ac:dyDescent="0.25">
      <c r="A103" s="8"/>
      <c r="B103" s="9"/>
      <c r="C103" s="2"/>
      <c r="D103" s="11"/>
      <c r="E103" s="9"/>
      <c r="F103" s="10"/>
      <c r="G103" s="10"/>
      <c r="H103" s="33"/>
      <c r="I103" s="33"/>
      <c r="J103" s="33"/>
      <c r="K103" s="33"/>
      <c r="L103" s="33"/>
      <c r="M103" s="33"/>
      <c r="N103" s="33"/>
      <c r="O103" s="9"/>
      <c r="P103" s="9"/>
      <c r="Q103" s="8"/>
      <c r="R103" s="8"/>
      <c r="S103" s="12"/>
      <c r="T103" s="32"/>
      <c r="U103" s="32"/>
      <c r="V103" s="32"/>
      <c r="W103" s="32"/>
      <c r="X103" s="8"/>
      <c r="Y103" s="32"/>
      <c r="Z103" s="8"/>
      <c r="AA103" s="8"/>
    </row>
    <row r="104" spans="1:27" s="93" customFormat="1" ht="14.25" customHeight="1" x14ac:dyDescent="0.25">
      <c r="A104" s="8"/>
      <c r="B104" s="9"/>
      <c r="C104" s="2"/>
      <c r="D104" s="11"/>
      <c r="E104" s="9"/>
      <c r="F104" s="10"/>
      <c r="G104" s="10"/>
      <c r="H104" s="33"/>
      <c r="I104" s="33"/>
      <c r="J104" s="33"/>
      <c r="K104" s="33"/>
      <c r="L104" s="33"/>
      <c r="M104" s="33"/>
      <c r="N104" s="33"/>
      <c r="O104" s="9"/>
      <c r="P104" s="9"/>
      <c r="Q104" s="8"/>
      <c r="R104" s="8"/>
      <c r="S104" s="12"/>
      <c r="T104" s="32"/>
      <c r="U104" s="32"/>
      <c r="V104" s="32"/>
      <c r="W104" s="32"/>
      <c r="X104" s="8"/>
      <c r="Y104" s="32"/>
      <c r="Z104" s="8"/>
      <c r="AA104" s="8"/>
    </row>
    <row r="105" spans="1:27" s="122" customFormat="1" x14ac:dyDescent="0.25">
      <c r="A105" s="8"/>
      <c r="B105" s="9"/>
      <c r="C105" s="2"/>
      <c r="D105" s="11"/>
      <c r="E105" s="9"/>
      <c r="F105" s="10"/>
      <c r="G105" s="10"/>
      <c r="H105" s="33"/>
      <c r="I105" s="33"/>
      <c r="J105" s="33"/>
      <c r="K105" s="33"/>
      <c r="L105" s="33"/>
      <c r="M105" s="33"/>
      <c r="N105" s="33"/>
      <c r="O105" s="9"/>
      <c r="P105" s="9"/>
      <c r="Q105" s="8"/>
      <c r="R105" s="8"/>
      <c r="S105" s="12"/>
      <c r="T105" s="32"/>
      <c r="U105" s="32"/>
      <c r="V105" s="32"/>
      <c r="W105" s="32"/>
      <c r="X105" s="8"/>
      <c r="Y105" s="32"/>
      <c r="Z105" s="8"/>
      <c r="AA105" s="8"/>
    </row>
    <row r="106" spans="1:27" s="93" customFormat="1" ht="14.25" customHeight="1" x14ac:dyDescent="0.25">
      <c r="A106" s="8"/>
      <c r="B106" s="9"/>
      <c r="C106" s="2"/>
      <c r="D106" s="11"/>
      <c r="E106" s="9"/>
      <c r="F106" s="10"/>
      <c r="G106" s="10"/>
      <c r="H106" s="33"/>
      <c r="I106" s="33"/>
      <c r="J106" s="33"/>
      <c r="K106" s="33"/>
      <c r="L106" s="33"/>
      <c r="M106" s="33"/>
      <c r="N106" s="33"/>
      <c r="O106" s="9"/>
      <c r="P106" s="9"/>
      <c r="Q106" s="8"/>
      <c r="R106" s="8"/>
      <c r="S106" s="12"/>
      <c r="T106" s="32"/>
      <c r="U106" s="32"/>
      <c r="V106" s="32"/>
      <c r="W106" s="32"/>
      <c r="X106" s="8"/>
      <c r="Y106" s="32"/>
      <c r="Z106" s="8"/>
      <c r="AA106" s="8"/>
    </row>
    <row r="107" spans="1:27" s="122" customFormat="1" ht="14.25" customHeight="1" x14ac:dyDescent="0.25">
      <c r="A107" s="8"/>
      <c r="B107" s="9"/>
      <c r="C107" s="2"/>
      <c r="D107" s="11"/>
      <c r="E107" s="9"/>
      <c r="F107" s="10"/>
      <c r="G107" s="10"/>
      <c r="H107" s="33"/>
      <c r="I107" s="33"/>
      <c r="J107" s="33"/>
      <c r="K107" s="33"/>
      <c r="L107" s="33"/>
      <c r="M107" s="33"/>
      <c r="N107" s="33"/>
      <c r="O107" s="9"/>
      <c r="P107" s="9"/>
      <c r="Q107" s="8"/>
      <c r="R107" s="8"/>
      <c r="S107" s="12"/>
      <c r="T107" s="32"/>
      <c r="U107" s="32"/>
      <c r="V107" s="32"/>
      <c r="W107" s="32"/>
      <c r="X107" s="8"/>
      <c r="Y107" s="32"/>
      <c r="Z107" s="8"/>
      <c r="AA107" s="8"/>
    </row>
    <row r="108" spans="1:27" s="93" customFormat="1" ht="16.5" customHeight="1" x14ac:dyDescent="0.25">
      <c r="A108" s="8"/>
      <c r="B108" s="9"/>
      <c r="C108" s="2"/>
      <c r="D108" s="11"/>
      <c r="E108" s="9"/>
      <c r="F108" s="10"/>
      <c r="G108" s="10"/>
      <c r="H108" s="33"/>
      <c r="I108" s="33"/>
      <c r="J108" s="33"/>
      <c r="K108" s="33"/>
      <c r="L108" s="33"/>
      <c r="M108" s="33"/>
      <c r="N108" s="33"/>
      <c r="O108" s="9"/>
      <c r="P108" s="9"/>
      <c r="Q108" s="8"/>
      <c r="R108" s="8"/>
      <c r="S108" s="12"/>
      <c r="T108" s="32"/>
      <c r="U108" s="32"/>
      <c r="V108" s="32"/>
      <c r="W108" s="32"/>
      <c r="X108" s="8"/>
      <c r="Y108" s="32"/>
      <c r="Z108" s="8"/>
      <c r="AA108" s="8"/>
    </row>
    <row r="109" spans="1:27" s="93" customFormat="1" ht="14.25" customHeight="1" x14ac:dyDescent="0.25">
      <c r="A109" s="8"/>
      <c r="B109" s="9"/>
      <c r="C109" s="2"/>
      <c r="D109" s="11"/>
      <c r="E109" s="9"/>
      <c r="F109" s="10"/>
      <c r="G109" s="10"/>
      <c r="H109" s="33"/>
      <c r="I109" s="33"/>
      <c r="J109" s="33"/>
      <c r="K109" s="33"/>
      <c r="L109" s="33"/>
      <c r="M109" s="33"/>
      <c r="N109" s="33"/>
      <c r="O109" s="9"/>
      <c r="P109" s="9"/>
      <c r="Q109" s="8"/>
      <c r="R109" s="8"/>
      <c r="S109" s="12"/>
      <c r="T109" s="32"/>
      <c r="U109" s="32"/>
      <c r="V109" s="32"/>
      <c r="W109" s="32"/>
      <c r="X109" s="8"/>
      <c r="Y109" s="32"/>
      <c r="Z109" s="8"/>
      <c r="AA109" s="8"/>
    </row>
    <row r="110" spans="1:27" s="93" customFormat="1" ht="14.25" customHeight="1" x14ac:dyDescent="0.25">
      <c r="A110" s="8"/>
      <c r="B110" s="9"/>
      <c r="C110" s="2"/>
      <c r="D110" s="11"/>
      <c r="E110" s="9"/>
      <c r="F110" s="10"/>
      <c r="G110" s="10"/>
      <c r="H110" s="33"/>
      <c r="I110" s="33"/>
      <c r="J110" s="33"/>
      <c r="K110" s="33"/>
      <c r="L110" s="33"/>
      <c r="M110" s="33"/>
      <c r="N110" s="33"/>
      <c r="O110" s="9"/>
      <c r="P110" s="9"/>
      <c r="Q110" s="8"/>
      <c r="R110" s="8"/>
      <c r="S110" s="12"/>
      <c r="T110" s="32"/>
      <c r="U110" s="32"/>
      <c r="V110" s="32"/>
      <c r="W110" s="32"/>
      <c r="X110" s="8"/>
      <c r="Y110" s="32"/>
      <c r="Z110" s="8"/>
      <c r="AA110" s="8"/>
    </row>
    <row r="111" spans="1:27" s="93" customFormat="1" ht="14.25" customHeight="1" x14ac:dyDescent="0.25">
      <c r="A111" s="8"/>
      <c r="B111" s="9"/>
      <c r="C111" s="2"/>
      <c r="D111" s="11"/>
      <c r="E111" s="9"/>
      <c r="F111" s="10"/>
      <c r="G111" s="10"/>
      <c r="H111" s="33"/>
      <c r="I111" s="33"/>
      <c r="J111" s="33"/>
      <c r="K111" s="33"/>
      <c r="L111" s="33"/>
      <c r="M111" s="33"/>
      <c r="N111" s="33"/>
      <c r="O111" s="9"/>
      <c r="P111" s="9"/>
      <c r="Q111" s="8"/>
      <c r="R111" s="8"/>
      <c r="S111" s="12"/>
      <c r="T111" s="32"/>
      <c r="U111" s="32"/>
      <c r="V111" s="32"/>
      <c r="W111" s="32"/>
      <c r="X111" s="8"/>
      <c r="Y111" s="32"/>
      <c r="Z111" s="8"/>
      <c r="AA111" s="8"/>
    </row>
    <row r="112" spans="1:27" s="93" customFormat="1" ht="14.25" customHeight="1" x14ac:dyDescent="0.25">
      <c r="A112" s="8"/>
      <c r="B112" s="9"/>
      <c r="C112" s="2"/>
      <c r="D112" s="11"/>
      <c r="E112" s="9"/>
      <c r="F112" s="10"/>
      <c r="G112" s="10"/>
      <c r="H112" s="33"/>
      <c r="I112" s="33"/>
      <c r="J112" s="33"/>
      <c r="K112" s="33"/>
      <c r="L112" s="33"/>
      <c r="M112" s="33"/>
      <c r="N112" s="33"/>
      <c r="O112" s="9"/>
      <c r="P112" s="9"/>
      <c r="Q112" s="8"/>
      <c r="R112" s="8"/>
      <c r="S112" s="12"/>
      <c r="T112" s="32"/>
      <c r="U112" s="32"/>
      <c r="V112" s="32"/>
      <c r="W112" s="32"/>
      <c r="X112" s="8"/>
      <c r="Y112" s="32"/>
      <c r="Z112" s="8"/>
      <c r="AA112" s="8"/>
    </row>
    <row r="113" spans="1:27" s="93" customFormat="1" ht="14.25" customHeight="1" x14ac:dyDescent="0.25">
      <c r="A113" s="8"/>
      <c r="B113" s="9"/>
      <c r="C113" s="2"/>
      <c r="D113" s="11"/>
      <c r="E113" s="9"/>
      <c r="F113" s="10"/>
      <c r="G113" s="10"/>
      <c r="H113" s="33"/>
      <c r="I113" s="33"/>
      <c r="J113" s="33"/>
      <c r="K113" s="33"/>
      <c r="L113" s="33"/>
      <c r="M113" s="33"/>
      <c r="N113" s="33"/>
      <c r="O113" s="9"/>
      <c r="P113" s="9"/>
      <c r="Q113" s="8"/>
      <c r="R113" s="8"/>
      <c r="S113" s="12"/>
      <c r="T113" s="32"/>
      <c r="U113" s="32"/>
      <c r="V113" s="32"/>
      <c r="W113" s="32"/>
      <c r="X113" s="8"/>
      <c r="Y113" s="32"/>
      <c r="Z113" s="8"/>
      <c r="AA113" s="8"/>
    </row>
    <row r="114" spans="1:27" s="93" customFormat="1" ht="14.25" customHeight="1" x14ac:dyDescent="0.25">
      <c r="A114" s="8"/>
      <c r="B114" s="9"/>
      <c r="C114" s="2"/>
      <c r="D114" s="11"/>
      <c r="E114" s="9"/>
      <c r="F114" s="10"/>
      <c r="G114" s="10"/>
      <c r="H114" s="33"/>
      <c r="I114" s="33"/>
      <c r="J114" s="33"/>
      <c r="K114" s="33"/>
      <c r="L114" s="33"/>
      <c r="M114" s="33"/>
      <c r="N114" s="33"/>
      <c r="O114" s="9"/>
      <c r="P114" s="9"/>
      <c r="Q114" s="8"/>
      <c r="R114" s="8"/>
      <c r="S114" s="12"/>
      <c r="T114" s="32"/>
      <c r="U114" s="32"/>
      <c r="V114" s="32"/>
      <c r="W114" s="32"/>
      <c r="X114" s="8"/>
      <c r="Y114" s="32"/>
      <c r="Z114" s="8"/>
      <c r="AA114" s="8"/>
    </row>
    <row r="115" spans="1:27" s="122" customFormat="1" x14ac:dyDescent="0.25">
      <c r="A115" s="8"/>
      <c r="B115" s="9"/>
      <c r="C115" s="2"/>
      <c r="D115" s="11"/>
      <c r="E115" s="9"/>
      <c r="F115" s="10"/>
      <c r="G115" s="10"/>
      <c r="H115" s="33"/>
      <c r="I115" s="33"/>
      <c r="J115" s="33"/>
      <c r="K115" s="33"/>
      <c r="L115" s="33"/>
      <c r="M115" s="33"/>
      <c r="N115" s="33"/>
      <c r="O115" s="9"/>
      <c r="P115" s="9"/>
      <c r="Q115" s="8"/>
      <c r="R115" s="8"/>
      <c r="S115" s="12"/>
      <c r="T115" s="32"/>
      <c r="U115" s="32"/>
      <c r="V115" s="32"/>
      <c r="W115" s="32"/>
      <c r="X115" s="8"/>
      <c r="Y115" s="32"/>
      <c r="Z115" s="8"/>
      <c r="AA115" s="8"/>
    </row>
    <row r="116" spans="1:27" s="122" customFormat="1" x14ac:dyDescent="0.25">
      <c r="A116" s="8"/>
      <c r="B116" s="9"/>
      <c r="C116" s="2"/>
      <c r="D116" s="11"/>
      <c r="E116" s="9"/>
      <c r="F116" s="10"/>
      <c r="G116" s="10"/>
      <c r="H116" s="33"/>
      <c r="I116" s="33"/>
      <c r="J116" s="33"/>
      <c r="K116" s="33"/>
      <c r="L116" s="33"/>
      <c r="M116" s="33"/>
      <c r="N116" s="33"/>
      <c r="O116" s="9"/>
      <c r="P116" s="9"/>
      <c r="Q116" s="8"/>
      <c r="R116" s="8"/>
      <c r="S116" s="12"/>
      <c r="T116" s="32"/>
      <c r="U116" s="32"/>
      <c r="V116" s="32"/>
      <c r="W116" s="32"/>
      <c r="X116" s="8"/>
      <c r="Y116" s="32"/>
      <c r="Z116" s="8"/>
      <c r="AA116" s="8"/>
    </row>
    <row r="117" spans="1:27" s="122" customFormat="1" x14ac:dyDescent="0.25">
      <c r="A117" s="8"/>
      <c r="B117" s="9"/>
      <c r="C117" s="2"/>
      <c r="D117" s="11"/>
      <c r="E117" s="9"/>
      <c r="F117" s="10"/>
      <c r="G117" s="10"/>
      <c r="H117" s="33"/>
      <c r="I117" s="33"/>
      <c r="J117" s="33"/>
      <c r="K117" s="33"/>
      <c r="L117" s="33"/>
      <c r="M117" s="33"/>
      <c r="N117" s="33"/>
      <c r="O117" s="9"/>
      <c r="P117" s="9"/>
      <c r="Q117" s="8"/>
      <c r="R117" s="8"/>
      <c r="S117" s="12"/>
      <c r="T117" s="32"/>
      <c r="U117" s="32"/>
      <c r="V117" s="32"/>
      <c r="W117" s="32"/>
      <c r="X117" s="8"/>
      <c r="Y117" s="32"/>
      <c r="Z117" s="8"/>
      <c r="AA117" s="8"/>
    </row>
    <row r="118" spans="1:27" s="93" customFormat="1" ht="14.25" customHeight="1" x14ac:dyDescent="0.25">
      <c r="A118" s="8"/>
      <c r="B118" s="9"/>
      <c r="C118" s="2"/>
      <c r="D118" s="11"/>
      <c r="E118" s="9"/>
      <c r="F118" s="10"/>
      <c r="G118" s="10"/>
      <c r="H118" s="33"/>
      <c r="I118" s="33"/>
      <c r="J118" s="33"/>
      <c r="K118" s="33"/>
      <c r="L118" s="33"/>
      <c r="M118" s="33"/>
      <c r="N118" s="33"/>
      <c r="O118" s="9"/>
      <c r="P118" s="9"/>
      <c r="Q118" s="8"/>
      <c r="R118" s="8"/>
      <c r="S118" s="12"/>
      <c r="T118" s="32"/>
      <c r="U118" s="32"/>
      <c r="V118" s="32"/>
      <c r="W118" s="32"/>
      <c r="X118" s="8"/>
      <c r="Y118" s="32"/>
      <c r="Z118" s="8"/>
      <c r="AA118" s="8"/>
    </row>
    <row r="119" spans="1:27" s="93" customFormat="1" ht="16.5" customHeight="1" x14ac:dyDescent="0.25">
      <c r="A119" s="8"/>
      <c r="B119" s="9"/>
      <c r="C119" s="2"/>
      <c r="D119" s="11"/>
      <c r="E119" s="9"/>
      <c r="F119" s="10"/>
      <c r="G119" s="10"/>
      <c r="H119" s="33"/>
      <c r="I119" s="33"/>
      <c r="J119" s="33"/>
      <c r="K119" s="33"/>
      <c r="L119" s="33"/>
      <c r="M119" s="33"/>
      <c r="N119" s="33"/>
      <c r="O119" s="9"/>
      <c r="P119" s="9"/>
      <c r="Q119" s="8"/>
      <c r="R119" s="8"/>
      <c r="S119" s="12"/>
      <c r="T119" s="32"/>
      <c r="U119" s="32"/>
      <c r="V119" s="32"/>
      <c r="W119" s="32"/>
      <c r="X119" s="8"/>
      <c r="Y119" s="32"/>
      <c r="Z119" s="8"/>
      <c r="AA119" s="8"/>
    </row>
    <row r="120" spans="1:27" s="93" customFormat="1" ht="14.25" customHeight="1" x14ac:dyDescent="0.25">
      <c r="A120" s="8"/>
      <c r="B120" s="9"/>
      <c r="C120" s="2"/>
      <c r="D120" s="11"/>
      <c r="E120" s="9"/>
      <c r="F120" s="10"/>
      <c r="G120" s="10"/>
      <c r="H120" s="33"/>
      <c r="I120" s="33"/>
      <c r="J120" s="33"/>
      <c r="K120" s="33"/>
      <c r="L120" s="33"/>
      <c r="M120" s="33"/>
      <c r="N120" s="33"/>
      <c r="O120" s="9"/>
      <c r="P120" s="9"/>
      <c r="Q120" s="8"/>
      <c r="R120" s="8"/>
      <c r="S120" s="12"/>
      <c r="T120" s="32"/>
      <c r="U120" s="32"/>
      <c r="V120" s="32"/>
      <c r="W120" s="32"/>
      <c r="X120" s="8"/>
      <c r="Y120" s="32"/>
      <c r="Z120" s="8"/>
      <c r="AA120" s="8"/>
    </row>
    <row r="121" spans="1:27" s="93" customFormat="1" ht="14.25" customHeight="1" x14ac:dyDescent="0.25">
      <c r="A121" s="8"/>
      <c r="B121" s="9"/>
      <c r="C121" s="2"/>
      <c r="D121" s="11"/>
      <c r="E121" s="9"/>
      <c r="F121" s="10"/>
      <c r="G121" s="10"/>
      <c r="H121" s="33"/>
      <c r="I121" s="33"/>
      <c r="J121" s="33"/>
      <c r="K121" s="33"/>
      <c r="L121" s="33"/>
      <c r="M121" s="33"/>
      <c r="N121" s="33"/>
      <c r="O121" s="9"/>
      <c r="P121" s="9"/>
      <c r="Q121" s="8"/>
      <c r="R121" s="8"/>
      <c r="S121" s="12"/>
      <c r="T121" s="32"/>
      <c r="U121" s="32"/>
      <c r="V121" s="32"/>
      <c r="W121" s="32"/>
      <c r="X121" s="8"/>
      <c r="Y121" s="32"/>
      <c r="Z121" s="8"/>
      <c r="AA121" s="8"/>
    </row>
    <row r="122" spans="1:27" s="123" customFormat="1" ht="14.25" customHeight="1" x14ac:dyDescent="0.25">
      <c r="A122" s="8"/>
      <c r="B122" s="9"/>
      <c r="C122" s="2"/>
      <c r="D122" s="11"/>
      <c r="E122" s="9"/>
      <c r="F122" s="10"/>
      <c r="G122" s="10"/>
      <c r="H122" s="33"/>
      <c r="I122" s="33"/>
      <c r="J122" s="33"/>
      <c r="K122" s="33"/>
      <c r="L122" s="33"/>
      <c r="M122" s="33"/>
      <c r="N122" s="33"/>
      <c r="O122" s="9"/>
      <c r="P122" s="9"/>
      <c r="Q122" s="8"/>
      <c r="R122" s="8"/>
      <c r="S122" s="12"/>
      <c r="T122" s="32"/>
      <c r="U122" s="32"/>
      <c r="V122" s="32"/>
      <c r="W122" s="32"/>
      <c r="X122" s="8"/>
      <c r="Y122" s="32"/>
      <c r="Z122" s="8"/>
      <c r="AA122" s="8"/>
    </row>
    <row r="123" spans="1:27" s="93" customFormat="1" ht="14.25" customHeight="1" x14ac:dyDescent="0.25">
      <c r="A123" s="8"/>
      <c r="B123" s="9"/>
      <c r="C123" s="2"/>
      <c r="D123" s="11"/>
      <c r="E123" s="9"/>
      <c r="F123" s="10"/>
      <c r="G123" s="10"/>
      <c r="H123" s="33"/>
      <c r="I123" s="33"/>
      <c r="J123" s="33"/>
      <c r="K123" s="33"/>
      <c r="L123" s="33"/>
      <c r="M123" s="33"/>
      <c r="N123" s="33"/>
      <c r="O123" s="9"/>
      <c r="P123" s="9"/>
      <c r="Q123" s="8"/>
      <c r="R123" s="8"/>
      <c r="S123" s="12"/>
      <c r="T123" s="32"/>
      <c r="U123" s="32"/>
      <c r="V123" s="32"/>
      <c r="W123" s="32"/>
      <c r="X123" s="8"/>
      <c r="Y123" s="32"/>
      <c r="Z123" s="8"/>
      <c r="AA123" s="8"/>
    </row>
    <row r="124" spans="1:27" s="93" customFormat="1" ht="14.25" customHeight="1" x14ac:dyDescent="0.25">
      <c r="A124" s="8"/>
      <c r="B124" s="9"/>
      <c r="C124" s="2"/>
      <c r="D124" s="11"/>
      <c r="E124" s="9"/>
      <c r="F124" s="10"/>
      <c r="G124" s="10"/>
      <c r="H124" s="33"/>
      <c r="I124" s="33"/>
      <c r="J124" s="33"/>
      <c r="K124" s="33"/>
      <c r="L124" s="33"/>
      <c r="M124" s="33"/>
      <c r="N124" s="33"/>
      <c r="O124" s="9"/>
      <c r="P124" s="9"/>
      <c r="Q124" s="8"/>
      <c r="R124" s="8"/>
      <c r="S124" s="12"/>
      <c r="T124" s="32"/>
      <c r="U124" s="32"/>
      <c r="V124" s="32"/>
      <c r="W124" s="32"/>
      <c r="X124" s="8"/>
      <c r="Y124" s="32"/>
      <c r="Z124" s="8"/>
      <c r="AA124" s="8"/>
    </row>
    <row r="125" spans="1:27" s="93" customFormat="1" ht="14.25" customHeight="1" x14ac:dyDescent="0.25">
      <c r="A125" s="8"/>
      <c r="B125" s="9"/>
      <c r="C125" s="2"/>
      <c r="D125" s="11"/>
      <c r="E125" s="9"/>
      <c r="F125" s="10"/>
      <c r="G125" s="10"/>
      <c r="H125" s="33"/>
      <c r="I125" s="33"/>
      <c r="J125" s="33"/>
      <c r="K125" s="33"/>
      <c r="L125" s="33"/>
      <c r="M125" s="33"/>
      <c r="N125" s="33"/>
      <c r="O125" s="9"/>
      <c r="P125" s="9"/>
      <c r="Q125" s="8"/>
      <c r="R125" s="8"/>
      <c r="S125" s="12"/>
      <c r="T125" s="32"/>
      <c r="U125" s="32"/>
      <c r="V125" s="32"/>
      <c r="W125" s="32"/>
      <c r="X125" s="8"/>
      <c r="Y125" s="32"/>
      <c r="Z125" s="8"/>
      <c r="AA125" s="8"/>
    </row>
    <row r="126" spans="1:27" s="93" customFormat="1" ht="14.25" customHeight="1" x14ac:dyDescent="0.25">
      <c r="A126" s="8"/>
      <c r="B126" s="9"/>
      <c r="C126" s="2"/>
      <c r="D126" s="11"/>
      <c r="E126" s="9"/>
      <c r="F126" s="10"/>
      <c r="G126" s="10"/>
      <c r="H126" s="33"/>
      <c r="I126" s="33"/>
      <c r="J126" s="33"/>
      <c r="K126" s="33"/>
      <c r="L126" s="33"/>
      <c r="M126" s="33"/>
      <c r="N126" s="33"/>
      <c r="O126" s="9"/>
      <c r="P126" s="9"/>
      <c r="Q126" s="8"/>
      <c r="R126" s="8"/>
      <c r="S126" s="12"/>
      <c r="T126" s="32"/>
      <c r="U126" s="32"/>
      <c r="V126" s="32"/>
      <c r="W126" s="32"/>
      <c r="X126" s="8"/>
      <c r="Y126" s="32"/>
      <c r="Z126" s="8"/>
      <c r="AA126" s="8"/>
    </row>
    <row r="127" spans="1:27" s="93" customFormat="1" ht="14.25" customHeight="1" x14ac:dyDescent="0.25">
      <c r="A127" s="8"/>
      <c r="B127" s="9"/>
      <c r="C127" s="2"/>
      <c r="D127" s="11"/>
      <c r="E127" s="9"/>
      <c r="F127" s="10"/>
      <c r="G127" s="10"/>
      <c r="H127" s="33"/>
      <c r="I127" s="33"/>
      <c r="J127" s="33"/>
      <c r="K127" s="33"/>
      <c r="L127" s="33"/>
      <c r="M127" s="33"/>
      <c r="N127" s="33"/>
      <c r="O127" s="9"/>
      <c r="P127" s="9"/>
      <c r="Q127" s="8"/>
      <c r="R127" s="8"/>
      <c r="S127" s="12"/>
      <c r="T127" s="32"/>
      <c r="U127" s="32"/>
      <c r="V127" s="32"/>
      <c r="W127" s="32"/>
      <c r="X127" s="8"/>
      <c r="Y127" s="32"/>
      <c r="Z127" s="8"/>
      <c r="AA127" s="8"/>
    </row>
    <row r="128" spans="1:27" s="93" customFormat="1" ht="14.25" customHeight="1" x14ac:dyDescent="0.25">
      <c r="A128" s="8"/>
      <c r="B128" s="9"/>
      <c r="C128" s="2"/>
      <c r="D128" s="11"/>
      <c r="E128" s="9"/>
      <c r="F128" s="10"/>
      <c r="G128" s="10"/>
      <c r="H128" s="33"/>
      <c r="I128" s="33"/>
      <c r="J128" s="33"/>
      <c r="K128" s="33"/>
      <c r="L128" s="33"/>
      <c r="M128" s="33"/>
      <c r="N128" s="33"/>
      <c r="O128" s="9"/>
      <c r="P128" s="9"/>
      <c r="Q128" s="8"/>
      <c r="R128" s="8"/>
      <c r="S128" s="12"/>
      <c r="T128" s="32"/>
      <c r="U128" s="32"/>
      <c r="V128" s="32"/>
      <c r="W128" s="32"/>
      <c r="X128" s="8"/>
      <c r="Y128" s="32"/>
      <c r="Z128" s="8"/>
      <c r="AA128" s="8"/>
    </row>
    <row r="129" spans="1:27" s="93" customFormat="1" ht="14.25" customHeight="1" x14ac:dyDescent="0.25">
      <c r="A129" s="8"/>
      <c r="B129" s="9"/>
      <c r="C129" s="2"/>
      <c r="D129" s="11"/>
      <c r="E129" s="9"/>
      <c r="F129" s="10"/>
      <c r="G129" s="10"/>
      <c r="H129" s="33"/>
      <c r="I129" s="33"/>
      <c r="J129" s="33"/>
      <c r="K129" s="33"/>
      <c r="L129" s="33"/>
      <c r="M129" s="33"/>
      <c r="N129" s="33"/>
      <c r="O129" s="9"/>
      <c r="P129" s="9"/>
      <c r="Q129" s="8"/>
      <c r="R129" s="8"/>
      <c r="S129" s="12"/>
      <c r="T129" s="32"/>
      <c r="U129" s="32"/>
      <c r="V129" s="32"/>
      <c r="W129" s="32"/>
      <c r="X129" s="8"/>
      <c r="Y129" s="32"/>
      <c r="Z129" s="8"/>
      <c r="AA129" s="8"/>
    </row>
    <row r="130" spans="1:27" s="93" customFormat="1" ht="14.25" customHeight="1" x14ac:dyDescent="0.25">
      <c r="A130" s="8"/>
      <c r="B130" s="9"/>
      <c r="C130" s="2"/>
      <c r="D130" s="11"/>
      <c r="E130" s="9"/>
      <c r="F130" s="10"/>
      <c r="G130" s="10"/>
      <c r="H130" s="33"/>
      <c r="I130" s="33"/>
      <c r="J130" s="33"/>
      <c r="K130" s="33"/>
      <c r="L130" s="33"/>
      <c r="M130" s="33"/>
      <c r="N130" s="33"/>
      <c r="O130" s="9"/>
      <c r="P130" s="9"/>
      <c r="Q130" s="8"/>
      <c r="R130" s="8"/>
      <c r="S130" s="12"/>
      <c r="T130" s="32"/>
      <c r="U130" s="32"/>
      <c r="V130" s="32"/>
      <c r="W130" s="32"/>
      <c r="X130" s="8"/>
      <c r="Y130" s="32"/>
      <c r="Z130" s="8"/>
      <c r="AA130" s="8"/>
    </row>
    <row r="131" spans="1:27" s="122" customFormat="1" ht="14.25" customHeight="1" x14ac:dyDescent="0.25">
      <c r="A131" s="8"/>
      <c r="B131" s="9"/>
      <c r="C131" s="2"/>
      <c r="D131" s="11"/>
      <c r="E131" s="9"/>
      <c r="F131" s="10"/>
      <c r="G131" s="10"/>
      <c r="H131" s="33"/>
      <c r="I131" s="33"/>
      <c r="J131" s="33"/>
      <c r="K131" s="33"/>
      <c r="L131" s="33"/>
      <c r="M131" s="33"/>
      <c r="N131" s="33"/>
      <c r="O131" s="9"/>
      <c r="P131" s="9"/>
      <c r="Q131" s="8"/>
      <c r="R131" s="8"/>
      <c r="S131" s="12"/>
      <c r="T131" s="32"/>
      <c r="U131" s="32"/>
      <c r="V131" s="32"/>
      <c r="W131" s="32"/>
      <c r="X131" s="8"/>
      <c r="Y131" s="32"/>
      <c r="Z131" s="8"/>
      <c r="AA131" s="8"/>
    </row>
    <row r="132" spans="1:27" s="93" customFormat="1" ht="14.25" customHeight="1" x14ac:dyDescent="0.25">
      <c r="A132" s="8"/>
      <c r="B132" s="9"/>
      <c r="C132" s="2"/>
      <c r="D132" s="11"/>
      <c r="E132" s="9"/>
      <c r="F132" s="10"/>
      <c r="G132" s="10"/>
      <c r="H132" s="33"/>
      <c r="I132" s="33"/>
      <c r="J132" s="33"/>
      <c r="K132" s="33"/>
      <c r="L132" s="33"/>
      <c r="M132" s="33"/>
      <c r="N132" s="33"/>
      <c r="O132" s="9"/>
      <c r="P132" s="9"/>
      <c r="Q132" s="8"/>
      <c r="R132" s="8"/>
      <c r="S132" s="12"/>
      <c r="T132" s="32"/>
      <c r="U132" s="32"/>
      <c r="V132" s="32"/>
      <c r="W132" s="32"/>
      <c r="X132" s="8"/>
      <c r="Y132" s="32"/>
      <c r="Z132" s="8"/>
      <c r="AA132" s="8"/>
    </row>
    <row r="133" spans="1:27" s="93" customFormat="1" ht="14.25" customHeight="1" x14ac:dyDescent="0.25">
      <c r="A133" s="8"/>
      <c r="B133" s="9"/>
      <c r="C133" s="2"/>
      <c r="D133" s="11"/>
      <c r="E133" s="9"/>
      <c r="F133" s="10"/>
      <c r="G133" s="10"/>
      <c r="H133" s="33"/>
      <c r="I133" s="33"/>
      <c r="J133" s="33"/>
      <c r="K133" s="33"/>
      <c r="L133" s="33"/>
      <c r="M133" s="33"/>
      <c r="N133" s="33"/>
      <c r="O133" s="9"/>
      <c r="P133" s="9"/>
      <c r="Q133" s="8"/>
      <c r="R133" s="8"/>
      <c r="S133" s="12"/>
      <c r="T133" s="32"/>
      <c r="U133" s="32"/>
      <c r="V133" s="32"/>
      <c r="W133" s="32"/>
      <c r="X133" s="8"/>
      <c r="Y133" s="32"/>
      <c r="Z133" s="8"/>
      <c r="AA133" s="8"/>
    </row>
    <row r="134" spans="1:27" s="93" customFormat="1" ht="14.25" customHeight="1" x14ac:dyDescent="0.25">
      <c r="A134" s="8"/>
      <c r="B134" s="9"/>
      <c r="C134" s="2"/>
      <c r="D134" s="11"/>
      <c r="E134" s="9"/>
      <c r="F134" s="10"/>
      <c r="G134" s="10"/>
      <c r="H134" s="33"/>
      <c r="I134" s="33"/>
      <c r="J134" s="33"/>
      <c r="K134" s="33"/>
      <c r="L134" s="33"/>
      <c r="M134" s="33"/>
      <c r="N134" s="33"/>
      <c r="O134" s="9"/>
      <c r="P134" s="9"/>
      <c r="Q134" s="8"/>
      <c r="R134" s="8"/>
      <c r="S134" s="12"/>
      <c r="T134" s="32"/>
      <c r="U134" s="32"/>
      <c r="V134" s="32"/>
      <c r="W134" s="32"/>
      <c r="X134" s="8"/>
      <c r="Y134" s="32"/>
      <c r="Z134" s="8"/>
      <c r="AA134" s="8"/>
    </row>
    <row r="135" spans="1:27" s="93" customFormat="1" ht="14.25" customHeight="1" x14ac:dyDescent="0.25">
      <c r="A135" s="8"/>
      <c r="B135" s="9"/>
      <c r="C135" s="2"/>
      <c r="D135" s="11"/>
      <c r="E135" s="9"/>
      <c r="F135" s="10"/>
      <c r="G135" s="10"/>
      <c r="H135" s="33"/>
      <c r="I135" s="33"/>
      <c r="J135" s="33"/>
      <c r="K135" s="33"/>
      <c r="L135" s="33"/>
      <c r="M135" s="33"/>
      <c r="N135" s="33"/>
      <c r="O135" s="9"/>
      <c r="P135" s="9"/>
      <c r="Q135" s="8"/>
      <c r="R135" s="8"/>
      <c r="S135" s="12"/>
      <c r="T135" s="32"/>
      <c r="U135" s="32"/>
      <c r="V135" s="32"/>
      <c r="W135" s="32"/>
      <c r="X135" s="8"/>
      <c r="Y135" s="32"/>
      <c r="Z135" s="8"/>
      <c r="AA135" s="8"/>
    </row>
    <row r="136" spans="1:27" s="93" customFormat="1" ht="14.25" customHeight="1" x14ac:dyDescent="0.25">
      <c r="A136" s="8"/>
      <c r="B136" s="9"/>
      <c r="C136" s="2"/>
      <c r="D136" s="11"/>
      <c r="E136" s="9"/>
      <c r="F136" s="10"/>
      <c r="G136" s="10"/>
      <c r="H136" s="33"/>
      <c r="I136" s="33"/>
      <c r="J136" s="33"/>
      <c r="K136" s="33"/>
      <c r="L136" s="33"/>
      <c r="M136" s="33"/>
      <c r="N136" s="33"/>
      <c r="O136" s="9"/>
      <c r="P136" s="9"/>
      <c r="Q136" s="8"/>
      <c r="R136" s="8"/>
      <c r="S136" s="12"/>
      <c r="T136" s="32"/>
      <c r="U136" s="32"/>
      <c r="V136" s="32"/>
      <c r="W136" s="32"/>
      <c r="X136" s="8"/>
      <c r="Y136" s="32"/>
      <c r="Z136" s="8"/>
      <c r="AA136" s="8"/>
    </row>
    <row r="137" spans="1:27" s="93" customFormat="1" ht="14.25" customHeight="1" x14ac:dyDescent="0.25">
      <c r="A137" s="8"/>
      <c r="B137" s="9"/>
      <c r="C137" s="2"/>
      <c r="D137" s="11"/>
      <c r="E137" s="9"/>
      <c r="F137" s="10"/>
      <c r="G137" s="10"/>
      <c r="H137" s="33"/>
      <c r="I137" s="33"/>
      <c r="J137" s="33"/>
      <c r="K137" s="33"/>
      <c r="L137" s="33"/>
      <c r="M137" s="33"/>
      <c r="N137" s="33"/>
      <c r="O137" s="9"/>
      <c r="P137" s="9"/>
      <c r="Q137" s="8"/>
      <c r="R137" s="8"/>
      <c r="S137" s="12"/>
      <c r="T137" s="32"/>
      <c r="U137" s="32"/>
      <c r="V137" s="32"/>
      <c r="W137" s="32"/>
      <c r="X137" s="8"/>
      <c r="Y137" s="32"/>
      <c r="Z137" s="8"/>
      <c r="AA137" s="8"/>
    </row>
    <row r="138" spans="1:27" s="93" customFormat="1" ht="14.25" customHeight="1" x14ac:dyDescent="0.25">
      <c r="A138" s="8"/>
      <c r="B138" s="9"/>
      <c r="C138" s="2"/>
      <c r="D138" s="11"/>
      <c r="E138" s="9"/>
      <c r="F138" s="10"/>
      <c r="G138" s="10"/>
      <c r="H138" s="33"/>
      <c r="I138" s="33"/>
      <c r="J138" s="33"/>
      <c r="K138" s="33"/>
      <c r="L138" s="33"/>
      <c r="M138" s="33"/>
      <c r="N138" s="33"/>
      <c r="O138" s="9"/>
      <c r="P138" s="9"/>
      <c r="Q138" s="8"/>
      <c r="R138" s="8"/>
      <c r="S138" s="12"/>
      <c r="T138" s="32"/>
      <c r="U138" s="32"/>
      <c r="V138" s="32"/>
      <c r="W138" s="32"/>
      <c r="X138" s="8"/>
      <c r="Y138" s="32"/>
      <c r="Z138" s="8"/>
      <c r="AA138" s="8"/>
    </row>
    <row r="139" spans="1:27" s="93" customFormat="1" ht="14.25" customHeight="1" x14ac:dyDescent="0.25">
      <c r="A139" s="8"/>
      <c r="B139" s="9"/>
      <c r="C139" s="2"/>
      <c r="D139" s="11"/>
      <c r="E139" s="9"/>
      <c r="F139" s="10"/>
      <c r="G139" s="10"/>
      <c r="H139" s="33"/>
      <c r="I139" s="33"/>
      <c r="J139" s="33"/>
      <c r="K139" s="33"/>
      <c r="L139" s="33"/>
      <c r="M139" s="33"/>
      <c r="N139" s="33"/>
      <c r="O139" s="9"/>
      <c r="P139" s="9"/>
      <c r="Q139" s="8"/>
      <c r="R139" s="8"/>
      <c r="S139" s="12"/>
      <c r="T139" s="32"/>
      <c r="U139" s="32"/>
      <c r="V139" s="32"/>
      <c r="W139" s="32"/>
      <c r="X139" s="8"/>
      <c r="Y139" s="32"/>
      <c r="Z139" s="8"/>
      <c r="AA139" s="8"/>
    </row>
    <row r="140" spans="1:27" s="93" customFormat="1" ht="14.25" customHeight="1" x14ac:dyDescent="0.25">
      <c r="A140" s="8"/>
      <c r="B140" s="9"/>
      <c r="C140" s="2"/>
      <c r="D140" s="11"/>
      <c r="E140" s="9"/>
      <c r="F140" s="10"/>
      <c r="G140" s="10"/>
      <c r="H140" s="33"/>
      <c r="I140" s="33"/>
      <c r="J140" s="33"/>
      <c r="K140" s="33"/>
      <c r="L140" s="33"/>
      <c r="M140" s="33"/>
      <c r="N140" s="33"/>
      <c r="O140" s="9"/>
      <c r="P140" s="9"/>
      <c r="Q140" s="8"/>
      <c r="R140" s="8"/>
      <c r="S140" s="12"/>
      <c r="T140" s="32"/>
      <c r="U140" s="32"/>
      <c r="V140" s="32"/>
      <c r="W140" s="32"/>
      <c r="X140" s="8"/>
      <c r="Y140" s="32"/>
      <c r="Z140" s="8"/>
      <c r="AA140" s="8"/>
    </row>
    <row r="141" spans="1:27" s="93" customFormat="1" ht="14.25" customHeight="1" x14ac:dyDescent="0.25">
      <c r="A141" s="8"/>
      <c r="B141" s="9"/>
      <c r="C141" s="2"/>
      <c r="D141" s="11"/>
      <c r="E141" s="9"/>
      <c r="F141" s="10"/>
      <c r="G141" s="10"/>
      <c r="H141" s="33"/>
      <c r="I141" s="33"/>
      <c r="J141" s="33"/>
      <c r="K141" s="33"/>
      <c r="L141" s="33"/>
      <c r="M141" s="33"/>
      <c r="N141" s="33"/>
      <c r="O141" s="9"/>
      <c r="P141" s="9"/>
      <c r="Q141" s="8"/>
      <c r="R141" s="8"/>
      <c r="S141" s="12"/>
      <c r="T141" s="32"/>
      <c r="U141" s="32"/>
      <c r="V141" s="32"/>
      <c r="W141" s="32"/>
      <c r="X141" s="8"/>
      <c r="Y141" s="32"/>
      <c r="Z141" s="8"/>
      <c r="AA141" s="8"/>
    </row>
    <row r="142" spans="1:27" s="93" customFormat="1" ht="14.25" customHeight="1" x14ac:dyDescent="0.25">
      <c r="A142" s="8"/>
      <c r="B142" s="9"/>
      <c r="C142" s="2"/>
      <c r="D142" s="11"/>
      <c r="E142" s="9"/>
      <c r="F142" s="10"/>
      <c r="G142" s="10"/>
      <c r="H142" s="33"/>
      <c r="I142" s="33"/>
      <c r="J142" s="33"/>
      <c r="K142" s="33"/>
      <c r="L142" s="33"/>
      <c r="M142" s="33"/>
      <c r="N142" s="33"/>
      <c r="O142" s="9"/>
      <c r="P142" s="9"/>
      <c r="Q142" s="8"/>
      <c r="R142" s="8"/>
      <c r="S142" s="12"/>
      <c r="T142" s="32"/>
      <c r="U142" s="32"/>
      <c r="V142" s="32"/>
      <c r="W142" s="32"/>
      <c r="X142" s="8"/>
      <c r="Y142" s="32"/>
      <c r="Z142" s="8"/>
      <c r="AA142" s="8"/>
    </row>
    <row r="143" spans="1:27" s="93" customFormat="1" ht="14.25" customHeight="1" x14ac:dyDescent="0.25">
      <c r="A143" s="8"/>
      <c r="B143" s="9"/>
      <c r="C143" s="2"/>
      <c r="D143" s="11"/>
      <c r="E143" s="9"/>
      <c r="F143" s="10"/>
      <c r="G143" s="10"/>
      <c r="H143" s="33"/>
      <c r="I143" s="33"/>
      <c r="J143" s="33"/>
      <c r="K143" s="33"/>
      <c r="L143" s="33"/>
      <c r="M143" s="33"/>
      <c r="N143" s="33"/>
      <c r="O143" s="9"/>
      <c r="P143" s="9"/>
      <c r="Q143" s="8"/>
      <c r="R143" s="8"/>
      <c r="S143" s="12"/>
      <c r="T143" s="32"/>
      <c r="U143" s="32"/>
      <c r="V143" s="32"/>
      <c r="W143" s="32"/>
      <c r="X143" s="8"/>
      <c r="Y143" s="32"/>
      <c r="Z143" s="8"/>
      <c r="AA143" s="8"/>
    </row>
    <row r="144" spans="1:27" s="93" customFormat="1" ht="14.25" customHeight="1" x14ac:dyDescent="0.25">
      <c r="A144" s="8"/>
      <c r="B144" s="9"/>
      <c r="C144" s="2"/>
      <c r="D144" s="11"/>
      <c r="E144" s="9"/>
      <c r="F144" s="10"/>
      <c r="G144" s="10"/>
      <c r="H144" s="33"/>
      <c r="I144" s="33"/>
      <c r="J144" s="33"/>
      <c r="K144" s="33"/>
      <c r="L144" s="33"/>
      <c r="M144" s="33"/>
      <c r="N144" s="33"/>
      <c r="O144" s="9"/>
      <c r="P144" s="9"/>
      <c r="Q144" s="8"/>
      <c r="R144" s="8"/>
      <c r="S144" s="12"/>
      <c r="T144" s="32"/>
      <c r="U144" s="32"/>
      <c r="V144" s="32"/>
      <c r="W144" s="32"/>
      <c r="X144" s="8"/>
      <c r="Y144" s="32"/>
      <c r="Z144" s="8"/>
      <c r="AA144" s="8"/>
    </row>
    <row r="145" spans="1:27" s="93" customFormat="1" ht="14.25" customHeight="1" x14ac:dyDescent="0.25">
      <c r="A145" s="8"/>
      <c r="B145" s="9"/>
      <c r="C145" s="2"/>
      <c r="D145" s="11"/>
      <c r="E145" s="9"/>
      <c r="F145" s="10"/>
      <c r="G145" s="10"/>
      <c r="H145" s="33"/>
      <c r="I145" s="33"/>
      <c r="J145" s="33"/>
      <c r="K145" s="33"/>
      <c r="L145" s="33"/>
      <c r="M145" s="33"/>
      <c r="N145" s="33"/>
      <c r="O145" s="9"/>
      <c r="P145" s="9"/>
      <c r="Q145" s="8"/>
      <c r="R145" s="8"/>
      <c r="S145" s="12"/>
      <c r="T145" s="32"/>
      <c r="U145" s="32"/>
      <c r="V145" s="32"/>
      <c r="W145" s="32"/>
      <c r="X145" s="8"/>
      <c r="Y145" s="32"/>
      <c r="Z145" s="8"/>
      <c r="AA145" s="8"/>
    </row>
    <row r="146" spans="1:27" s="93" customFormat="1" ht="14.25" customHeight="1" x14ac:dyDescent="0.25">
      <c r="A146" s="8"/>
      <c r="B146" s="9"/>
      <c r="C146" s="2"/>
      <c r="D146" s="11"/>
      <c r="E146" s="9"/>
      <c r="F146" s="10"/>
      <c r="G146" s="10"/>
      <c r="H146" s="33"/>
      <c r="I146" s="33"/>
      <c r="J146" s="33"/>
      <c r="K146" s="33"/>
      <c r="L146" s="33"/>
      <c r="M146" s="33"/>
      <c r="N146" s="33"/>
      <c r="O146" s="9"/>
      <c r="P146" s="9"/>
      <c r="Q146" s="8"/>
      <c r="R146" s="8"/>
      <c r="S146" s="12"/>
      <c r="T146" s="32"/>
      <c r="U146" s="32"/>
      <c r="V146" s="32"/>
      <c r="W146" s="32"/>
      <c r="X146" s="8"/>
      <c r="Y146" s="32"/>
      <c r="Z146" s="8"/>
      <c r="AA146" s="8"/>
    </row>
    <row r="147" spans="1:27" s="93" customFormat="1" ht="14.25" customHeight="1" x14ac:dyDescent="0.25">
      <c r="A147" s="8"/>
      <c r="B147" s="9"/>
      <c r="C147" s="2"/>
      <c r="D147" s="11"/>
      <c r="E147" s="9"/>
      <c r="F147" s="10"/>
      <c r="G147" s="10"/>
      <c r="H147" s="33"/>
      <c r="I147" s="33"/>
      <c r="J147" s="33"/>
      <c r="K147" s="33"/>
      <c r="L147" s="33"/>
      <c r="M147" s="33"/>
      <c r="N147" s="33"/>
      <c r="O147" s="9"/>
      <c r="P147" s="9"/>
      <c r="Q147" s="8"/>
      <c r="R147" s="8"/>
      <c r="S147" s="12"/>
      <c r="T147" s="32"/>
      <c r="U147" s="32"/>
      <c r="V147" s="32"/>
      <c r="W147" s="32"/>
      <c r="X147" s="8"/>
      <c r="Y147" s="32"/>
      <c r="Z147" s="8"/>
      <c r="AA147" s="8"/>
    </row>
    <row r="148" spans="1:27" s="93" customFormat="1" ht="14.25" customHeight="1" x14ac:dyDescent="0.25">
      <c r="A148" s="8"/>
      <c r="B148" s="9"/>
      <c r="C148" s="2"/>
      <c r="D148" s="11"/>
      <c r="E148" s="9"/>
      <c r="F148" s="10"/>
      <c r="G148" s="10"/>
      <c r="H148" s="33"/>
      <c r="I148" s="33"/>
      <c r="J148" s="33"/>
      <c r="K148" s="33"/>
      <c r="L148" s="33"/>
      <c r="M148" s="33"/>
      <c r="N148" s="33"/>
      <c r="O148" s="9"/>
      <c r="P148" s="9"/>
      <c r="Q148" s="8"/>
      <c r="R148" s="8"/>
      <c r="S148" s="12"/>
      <c r="T148" s="32"/>
      <c r="U148" s="32"/>
      <c r="V148" s="32"/>
      <c r="W148" s="32"/>
      <c r="X148" s="8"/>
      <c r="Y148" s="32"/>
      <c r="Z148" s="8"/>
      <c r="AA148" s="8"/>
    </row>
    <row r="149" spans="1:27" s="93" customFormat="1" ht="14.25" customHeight="1" x14ac:dyDescent="0.25">
      <c r="A149" s="8"/>
      <c r="B149" s="9"/>
      <c r="C149" s="2"/>
      <c r="D149" s="11"/>
      <c r="E149" s="9"/>
      <c r="F149" s="10"/>
      <c r="G149" s="10"/>
      <c r="H149" s="33"/>
      <c r="I149" s="33"/>
      <c r="J149" s="33"/>
      <c r="K149" s="33"/>
      <c r="L149" s="33"/>
      <c r="M149" s="33"/>
      <c r="N149" s="33"/>
      <c r="O149" s="9"/>
      <c r="P149" s="9"/>
      <c r="Q149" s="8"/>
      <c r="R149" s="8"/>
      <c r="S149" s="12"/>
      <c r="T149" s="32"/>
      <c r="U149" s="32"/>
      <c r="V149" s="32"/>
      <c r="W149" s="32"/>
      <c r="X149" s="8"/>
      <c r="Y149" s="32"/>
      <c r="Z149" s="8"/>
      <c r="AA149" s="8"/>
    </row>
    <row r="150" spans="1:27" s="122" customFormat="1" x14ac:dyDescent="0.25">
      <c r="A150" s="8"/>
      <c r="B150" s="9"/>
      <c r="C150" s="2"/>
      <c r="D150" s="11"/>
      <c r="E150" s="9"/>
      <c r="F150" s="10"/>
      <c r="G150" s="10"/>
      <c r="H150" s="33"/>
      <c r="I150" s="33"/>
      <c r="J150" s="33"/>
      <c r="K150" s="33"/>
      <c r="L150" s="33"/>
      <c r="M150" s="33"/>
      <c r="N150" s="33"/>
      <c r="O150" s="9"/>
      <c r="P150" s="9"/>
      <c r="Q150" s="8"/>
      <c r="R150" s="8"/>
      <c r="S150" s="12"/>
      <c r="T150" s="32"/>
      <c r="U150" s="32"/>
      <c r="V150" s="32"/>
      <c r="W150" s="32"/>
      <c r="X150" s="8"/>
      <c r="Y150" s="32"/>
      <c r="Z150" s="8"/>
      <c r="AA150" s="8"/>
    </row>
    <row r="151" spans="1:27" s="93" customFormat="1" ht="14.25" customHeight="1" x14ac:dyDescent="0.25">
      <c r="A151" s="8"/>
      <c r="B151" s="9"/>
      <c r="C151" s="2"/>
      <c r="D151" s="11"/>
      <c r="E151" s="9"/>
      <c r="F151" s="10"/>
      <c r="G151" s="10"/>
      <c r="H151" s="33"/>
      <c r="I151" s="33"/>
      <c r="J151" s="33"/>
      <c r="K151" s="33"/>
      <c r="L151" s="33"/>
      <c r="M151" s="33"/>
      <c r="N151" s="33"/>
      <c r="O151" s="9"/>
      <c r="P151" s="9"/>
      <c r="Q151" s="8"/>
      <c r="R151" s="8"/>
      <c r="S151" s="12"/>
      <c r="T151" s="32"/>
      <c r="U151" s="32"/>
      <c r="V151" s="32"/>
      <c r="W151" s="32"/>
      <c r="X151" s="8"/>
      <c r="Y151" s="32"/>
      <c r="Z151" s="8"/>
      <c r="AA151" s="8"/>
    </row>
    <row r="152" spans="1:27" s="93" customFormat="1" ht="14.25" customHeight="1" x14ac:dyDescent="0.25">
      <c r="A152" s="8"/>
      <c r="B152" s="9"/>
      <c r="C152" s="2"/>
      <c r="D152" s="11"/>
      <c r="E152" s="9"/>
      <c r="F152" s="10"/>
      <c r="G152" s="10"/>
      <c r="H152" s="33"/>
      <c r="I152" s="33"/>
      <c r="J152" s="33"/>
      <c r="K152" s="33"/>
      <c r="L152" s="33"/>
      <c r="M152" s="33"/>
      <c r="N152" s="33"/>
      <c r="O152" s="9"/>
      <c r="P152" s="9"/>
      <c r="Q152" s="8"/>
      <c r="R152" s="8"/>
      <c r="S152" s="12"/>
      <c r="T152" s="32"/>
      <c r="U152" s="32"/>
      <c r="V152" s="32"/>
      <c r="W152" s="32"/>
      <c r="X152" s="8"/>
      <c r="Y152" s="32"/>
      <c r="Z152" s="8"/>
      <c r="AA152" s="8"/>
    </row>
    <row r="153" spans="1:27" s="93" customFormat="1" ht="14.25" customHeight="1" x14ac:dyDescent="0.25">
      <c r="A153" s="8"/>
      <c r="B153" s="9"/>
      <c r="C153" s="2"/>
      <c r="D153" s="11"/>
      <c r="E153" s="9"/>
      <c r="F153" s="10"/>
      <c r="G153" s="10"/>
      <c r="H153" s="33"/>
      <c r="I153" s="33"/>
      <c r="J153" s="33"/>
      <c r="K153" s="33"/>
      <c r="L153" s="33"/>
      <c r="M153" s="33"/>
      <c r="N153" s="33"/>
      <c r="O153" s="9"/>
      <c r="P153" s="9"/>
      <c r="Q153" s="8"/>
      <c r="R153" s="8"/>
      <c r="S153" s="12"/>
      <c r="T153" s="32"/>
      <c r="U153" s="32"/>
      <c r="V153" s="32"/>
      <c r="W153" s="32"/>
      <c r="X153" s="8"/>
      <c r="Y153" s="32"/>
      <c r="Z153" s="8"/>
      <c r="AA153" s="8"/>
    </row>
    <row r="154" spans="1:27" s="93" customFormat="1" ht="14.25" customHeight="1" x14ac:dyDescent="0.25">
      <c r="A154" s="8"/>
      <c r="B154" s="9"/>
      <c r="C154" s="2"/>
      <c r="D154" s="11"/>
      <c r="E154" s="9"/>
      <c r="F154" s="10"/>
      <c r="G154" s="10"/>
      <c r="H154" s="33"/>
      <c r="I154" s="33"/>
      <c r="J154" s="33"/>
      <c r="K154" s="33"/>
      <c r="L154" s="33"/>
      <c r="M154" s="33"/>
      <c r="N154" s="33"/>
      <c r="O154" s="9"/>
      <c r="P154" s="9"/>
      <c r="Q154" s="8"/>
      <c r="R154" s="8"/>
      <c r="S154" s="12"/>
      <c r="T154" s="32"/>
      <c r="U154" s="32"/>
      <c r="V154" s="32"/>
      <c r="W154" s="32"/>
      <c r="X154" s="8"/>
      <c r="Y154" s="32"/>
      <c r="Z154" s="8"/>
      <c r="AA154" s="8"/>
    </row>
    <row r="155" spans="1:27" s="93" customFormat="1" ht="14.25" customHeight="1" x14ac:dyDescent="0.25">
      <c r="A155" s="8"/>
      <c r="B155" s="9"/>
      <c r="C155" s="2"/>
      <c r="D155" s="11"/>
      <c r="E155" s="9"/>
      <c r="F155" s="10"/>
      <c r="G155" s="10"/>
      <c r="H155" s="33"/>
      <c r="I155" s="33"/>
      <c r="J155" s="33"/>
      <c r="K155" s="33"/>
      <c r="L155" s="33"/>
      <c r="M155" s="33"/>
      <c r="N155" s="33"/>
      <c r="O155" s="9"/>
      <c r="P155" s="9"/>
      <c r="Q155" s="8"/>
      <c r="R155" s="8"/>
      <c r="S155" s="12"/>
      <c r="T155" s="32"/>
      <c r="U155" s="32"/>
      <c r="V155" s="32"/>
      <c r="W155" s="32"/>
      <c r="X155" s="8"/>
      <c r="Y155" s="32"/>
      <c r="Z155" s="8"/>
      <c r="AA155" s="8"/>
    </row>
    <row r="156" spans="1:27" s="93" customFormat="1" ht="14.25" customHeight="1" x14ac:dyDescent="0.25">
      <c r="A156" s="8"/>
      <c r="B156" s="9"/>
      <c r="C156" s="2"/>
      <c r="D156" s="11"/>
      <c r="E156" s="9"/>
      <c r="F156" s="10"/>
      <c r="G156" s="10"/>
      <c r="H156" s="33"/>
      <c r="I156" s="33"/>
      <c r="J156" s="33"/>
      <c r="K156" s="33"/>
      <c r="L156" s="33"/>
      <c r="M156" s="33"/>
      <c r="N156" s="33"/>
      <c r="O156" s="9"/>
      <c r="P156" s="9"/>
      <c r="Q156" s="8"/>
      <c r="R156" s="8"/>
      <c r="S156" s="12"/>
      <c r="T156" s="32"/>
      <c r="U156" s="32"/>
      <c r="V156" s="32"/>
      <c r="W156" s="32"/>
      <c r="X156" s="8"/>
      <c r="Y156" s="32"/>
      <c r="Z156" s="8"/>
      <c r="AA156" s="8"/>
    </row>
    <row r="157" spans="1:27" s="93" customFormat="1" ht="14.25" customHeight="1" x14ac:dyDescent="0.25">
      <c r="A157" s="8"/>
      <c r="B157" s="9"/>
      <c r="C157" s="2"/>
      <c r="D157" s="11"/>
      <c r="E157" s="9"/>
      <c r="F157" s="10"/>
      <c r="G157" s="10"/>
      <c r="H157" s="33"/>
      <c r="I157" s="33"/>
      <c r="J157" s="33"/>
      <c r="K157" s="33"/>
      <c r="L157" s="33"/>
      <c r="M157" s="33"/>
      <c r="N157" s="33"/>
      <c r="O157" s="9"/>
      <c r="P157" s="9"/>
      <c r="Q157" s="8"/>
      <c r="R157" s="8"/>
      <c r="S157" s="12"/>
      <c r="T157" s="32"/>
      <c r="U157" s="32"/>
      <c r="V157" s="32"/>
      <c r="W157" s="32"/>
      <c r="X157" s="8"/>
      <c r="Y157" s="32"/>
      <c r="Z157" s="8"/>
      <c r="AA157" s="8"/>
    </row>
    <row r="158" spans="1:27" s="52" customFormat="1" x14ac:dyDescent="0.25">
      <c r="A158" s="8"/>
      <c r="B158" s="9"/>
      <c r="C158" s="2"/>
      <c r="D158" s="11"/>
      <c r="E158" s="9"/>
      <c r="F158" s="10"/>
      <c r="G158" s="10"/>
      <c r="H158" s="33"/>
      <c r="I158" s="33"/>
      <c r="J158" s="33"/>
      <c r="K158" s="33"/>
      <c r="L158" s="33"/>
      <c r="M158" s="33"/>
      <c r="N158" s="33"/>
      <c r="O158" s="9"/>
      <c r="P158" s="9"/>
      <c r="Q158" s="8"/>
      <c r="R158" s="8"/>
      <c r="S158" s="12"/>
      <c r="T158" s="32"/>
      <c r="U158" s="32"/>
      <c r="V158" s="32"/>
      <c r="W158" s="32"/>
      <c r="X158" s="8"/>
      <c r="Y158" s="32"/>
      <c r="Z158" s="8"/>
      <c r="AA158" s="8"/>
    </row>
    <row r="159" spans="1:27" s="122" customFormat="1" ht="14.25" customHeight="1" x14ac:dyDescent="0.25">
      <c r="A159" s="8"/>
      <c r="B159" s="9"/>
      <c r="C159" s="2"/>
      <c r="D159" s="11"/>
      <c r="E159" s="9"/>
      <c r="F159" s="10"/>
      <c r="G159" s="10"/>
      <c r="H159" s="33"/>
      <c r="I159" s="33"/>
      <c r="J159" s="33"/>
      <c r="K159" s="33"/>
      <c r="L159" s="33"/>
      <c r="M159" s="33"/>
      <c r="N159" s="33"/>
      <c r="O159" s="9"/>
      <c r="P159" s="9"/>
      <c r="Q159" s="8"/>
      <c r="R159" s="8"/>
      <c r="S159" s="12"/>
      <c r="T159" s="32"/>
      <c r="U159" s="32"/>
      <c r="V159" s="32"/>
      <c r="W159" s="32"/>
      <c r="X159" s="8"/>
      <c r="Y159" s="32"/>
      <c r="Z159" s="8"/>
      <c r="AA159" s="8"/>
    </row>
    <row r="160" spans="1:27" s="122" customFormat="1" ht="14.25" customHeight="1" x14ac:dyDescent="0.25">
      <c r="A160" s="8"/>
      <c r="B160" s="9"/>
      <c r="C160" s="2"/>
      <c r="D160" s="11"/>
      <c r="E160" s="9"/>
      <c r="F160" s="10"/>
      <c r="G160" s="10"/>
      <c r="H160" s="33"/>
      <c r="I160" s="33"/>
      <c r="J160" s="33"/>
      <c r="K160" s="33"/>
      <c r="L160" s="33"/>
      <c r="M160" s="33"/>
      <c r="N160" s="33"/>
      <c r="O160" s="9"/>
      <c r="P160" s="9"/>
      <c r="Q160" s="8"/>
      <c r="R160" s="8"/>
      <c r="S160" s="12"/>
      <c r="T160" s="32"/>
      <c r="U160" s="32"/>
      <c r="V160" s="32"/>
      <c r="W160" s="32"/>
      <c r="X160" s="8"/>
      <c r="Y160" s="32"/>
      <c r="Z160" s="8"/>
      <c r="AA160" s="8"/>
    </row>
    <row r="161" spans="1:27" s="122" customFormat="1" ht="16.5" customHeight="1" x14ac:dyDescent="0.25">
      <c r="A161" s="8"/>
      <c r="B161" s="9"/>
      <c r="C161" s="2"/>
      <c r="D161" s="11"/>
      <c r="E161" s="9"/>
      <c r="F161" s="10"/>
      <c r="G161" s="10"/>
      <c r="H161" s="33"/>
      <c r="I161" s="33"/>
      <c r="J161" s="33"/>
      <c r="K161" s="33"/>
      <c r="L161" s="33"/>
      <c r="M161" s="33"/>
      <c r="N161" s="33"/>
      <c r="O161" s="9"/>
      <c r="P161" s="9"/>
      <c r="Q161" s="8"/>
      <c r="R161" s="8"/>
      <c r="S161" s="12"/>
      <c r="T161" s="32"/>
      <c r="U161" s="32"/>
      <c r="V161" s="32"/>
      <c r="W161" s="32"/>
      <c r="X161" s="8"/>
      <c r="Y161" s="32"/>
      <c r="Z161" s="8"/>
      <c r="AA161" s="8"/>
    </row>
    <row r="162" spans="1:27" s="93" customFormat="1" ht="16.5" customHeight="1" x14ac:dyDescent="0.25">
      <c r="A162" s="8"/>
      <c r="B162" s="9"/>
      <c r="C162" s="2"/>
      <c r="D162" s="11"/>
      <c r="E162" s="9"/>
      <c r="F162" s="10"/>
      <c r="G162" s="10"/>
      <c r="H162" s="33"/>
      <c r="I162" s="33"/>
      <c r="J162" s="33"/>
      <c r="K162" s="33"/>
      <c r="L162" s="33"/>
      <c r="M162" s="33"/>
      <c r="N162" s="33"/>
      <c r="O162" s="9"/>
      <c r="P162" s="9"/>
      <c r="Q162" s="8"/>
      <c r="R162" s="8"/>
      <c r="S162" s="12"/>
      <c r="T162" s="32"/>
      <c r="U162" s="32"/>
      <c r="V162" s="32"/>
      <c r="W162" s="32"/>
      <c r="X162" s="8"/>
      <c r="Y162" s="32"/>
      <c r="Z162" s="8"/>
      <c r="AA162" s="8"/>
    </row>
    <row r="163" spans="1:27" s="93" customFormat="1" ht="16.5" customHeight="1" x14ac:dyDescent="0.25">
      <c r="A163" s="8"/>
      <c r="B163" s="9"/>
      <c r="C163" s="2"/>
      <c r="D163" s="11"/>
      <c r="E163" s="9"/>
      <c r="F163" s="10"/>
      <c r="G163" s="10"/>
      <c r="H163" s="33"/>
      <c r="I163" s="33"/>
      <c r="J163" s="33"/>
      <c r="K163" s="33"/>
      <c r="L163" s="33"/>
      <c r="M163" s="33"/>
      <c r="N163" s="33"/>
      <c r="O163" s="9"/>
      <c r="P163" s="9"/>
      <c r="Q163" s="8"/>
      <c r="R163" s="8"/>
      <c r="S163" s="12"/>
      <c r="T163" s="32"/>
      <c r="U163" s="32"/>
      <c r="V163" s="32"/>
      <c r="W163" s="32"/>
      <c r="X163" s="8"/>
      <c r="Y163" s="32"/>
      <c r="Z163" s="8"/>
      <c r="AA163" s="8"/>
    </row>
    <row r="164" spans="1:27" s="93" customFormat="1" ht="14.25" customHeight="1" x14ac:dyDescent="0.25">
      <c r="A164" s="8"/>
      <c r="B164" s="9"/>
      <c r="C164" s="2"/>
      <c r="D164" s="11"/>
      <c r="E164" s="9"/>
      <c r="F164" s="10"/>
      <c r="G164" s="10"/>
      <c r="H164" s="33"/>
      <c r="I164" s="33"/>
      <c r="J164" s="33"/>
      <c r="K164" s="33"/>
      <c r="L164" s="33"/>
      <c r="M164" s="33"/>
      <c r="N164" s="33"/>
      <c r="O164" s="9"/>
      <c r="P164" s="9"/>
      <c r="Q164" s="8"/>
      <c r="R164" s="8"/>
      <c r="S164" s="12"/>
      <c r="T164" s="32"/>
      <c r="U164" s="32"/>
      <c r="V164" s="32"/>
      <c r="W164" s="32"/>
      <c r="X164" s="8"/>
      <c r="Y164" s="32"/>
      <c r="Z164" s="8"/>
      <c r="AA164" s="8"/>
    </row>
    <row r="165" spans="1:27" s="93" customFormat="1" ht="14.25" customHeight="1" x14ac:dyDescent="0.25">
      <c r="A165" s="8"/>
      <c r="B165" s="9"/>
      <c r="C165" s="2"/>
      <c r="D165" s="11"/>
      <c r="E165" s="9"/>
      <c r="F165" s="10"/>
      <c r="G165" s="10"/>
      <c r="H165" s="33"/>
      <c r="I165" s="33"/>
      <c r="J165" s="33"/>
      <c r="K165" s="33"/>
      <c r="L165" s="33"/>
      <c r="M165" s="33"/>
      <c r="N165" s="33"/>
      <c r="O165" s="9"/>
      <c r="P165" s="9"/>
      <c r="Q165" s="8"/>
      <c r="R165" s="8"/>
      <c r="S165" s="12"/>
      <c r="T165" s="32"/>
      <c r="U165" s="32"/>
      <c r="V165" s="32"/>
      <c r="W165" s="32"/>
      <c r="X165" s="8"/>
      <c r="Y165" s="32"/>
      <c r="Z165" s="8"/>
      <c r="AA165" s="8"/>
    </row>
    <row r="166" spans="1:27" s="93" customFormat="1" ht="14.25" customHeight="1" x14ac:dyDescent="0.25">
      <c r="A166" s="8"/>
      <c r="B166" s="9"/>
      <c r="C166" s="2"/>
      <c r="D166" s="11"/>
      <c r="E166" s="9"/>
      <c r="F166" s="10"/>
      <c r="G166" s="10"/>
      <c r="H166" s="33"/>
      <c r="I166" s="33"/>
      <c r="J166" s="33"/>
      <c r="K166" s="33"/>
      <c r="L166" s="33"/>
      <c r="M166" s="33"/>
      <c r="N166" s="33"/>
      <c r="O166" s="9"/>
      <c r="P166" s="9"/>
      <c r="Q166" s="8"/>
      <c r="R166" s="8"/>
      <c r="S166" s="12"/>
      <c r="T166" s="32"/>
      <c r="U166" s="32"/>
      <c r="V166" s="32"/>
      <c r="W166" s="32"/>
      <c r="X166" s="8"/>
      <c r="Y166" s="32"/>
      <c r="Z166" s="8"/>
      <c r="AA166" s="8"/>
    </row>
    <row r="167" spans="1:27" s="93" customFormat="1" ht="14.25" customHeight="1" x14ac:dyDescent="0.25">
      <c r="A167" s="8"/>
      <c r="B167" s="9"/>
      <c r="C167" s="2"/>
      <c r="D167" s="11"/>
      <c r="E167" s="9"/>
      <c r="F167" s="10"/>
      <c r="G167" s="10"/>
      <c r="H167" s="33"/>
      <c r="I167" s="33"/>
      <c r="J167" s="33"/>
      <c r="K167" s="33"/>
      <c r="L167" s="33"/>
      <c r="M167" s="33"/>
      <c r="N167" s="33"/>
      <c r="O167" s="9"/>
      <c r="P167" s="9"/>
      <c r="Q167" s="8"/>
      <c r="R167" s="8"/>
      <c r="S167" s="12"/>
      <c r="T167" s="32"/>
      <c r="U167" s="32"/>
      <c r="V167" s="32"/>
      <c r="W167" s="32"/>
      <c r="X167" s="8"/>
      <c r="Y167" s="32"/>
      <c r="Z167" s="8"/>
      <c r="AA167" s="8"/>
    </row>
    <row r="168" spans="1:27" s="93" customFormat="1" ht="14.25" customHeight="1" x14ac:dyDescent="0.25">
      <c r="A168" s="8"/>
      <c r="B168" s="9"/>
      <c r="C168" s="2"/>
      <c r="D168" s="11"/>
      <c r="E168" s="9"/>
      <c r="F168" s="10"/>
      <c r="G168" s="10"/>
      <c r="H168" s="33"/>
      <c r="I168" s="33"/>
      <c r="J168" s="33"/>
      <c r="K168" s="33"/>
      <c r="L168" s="33"/>
      <c r="M168" s="33"/>
      <c r="N168" s="33"/>
      <c r="O168" s="9"/>
      <c r="P168" s="9"/>
      <c r="Q168" s="8"/>
      <c r="R168" s="8"/>
      <c r="S168" s="12"/>
      <c r="T168" s="32"/>
      <c r="U168" s="32"/>
      <c r="V168" s="32"/>
      <c r="W168" s="32"/>
      <c r="X168" s="8"/>
      <c r="Y168" s="32"/>
      <c r="Z168" s="8"/>
      <c r="AA168" s="8"/>
    </row>
    <row r="169" spans="1:27" s="93" customFormat="1" ht="16.5" customHeight="1" x14ac:dyDescent="0.25">
      <c r="A169" s="8"/>
      <c r="B169" s="9"/>
      <c r="C169" s="2"/>
      <c r="D169" s="11"/>
      <c r="E169" s="9"/>
      <c r="F169" s="10"/>
      <c r="G169" s="10"/>
      <c r="H169" s="33"/>
      <c r="I169" s="33"/>
      <c r="J169" s="33"/>
      <c r="K169" s="33"/>
      <c r="L169" s="33"/>
      <c r="M169" s="33"/>
      <c r="N169" s="33"/>
      <c r="O169" s="9"/>
      <c r="P169" s="9"/>
      <c r="Q169" s="8"/>
      <c r="R169" s="8"/>
      <c r="S169" s="12"/>
      <c r="T169" s="32"/>
      <c r="U169" s="32"/>
      <c r="V169" s="32"/>
      <c r="W169" s="32"/>
      <c r="X169" s="8"/>
      <c r="Y169" s="32"/>
      <c r="Z169" s="8"/>
      <c r="AA169" s="8"/>
    </row>
    <row r="170" spans="1:27" s="93" customFormat="1" ht="14.25" customHeight="1" x14ac:dyDescent="0.25">
      <c r="A170" s="8"/>
      <c r="B170" s="9"/>
      <c r="C170" s="2"/>
      <c r="D170" s="11"/>
      <c r="E170" s="9"/>
      <c r="F170" s="10"/>
      <c r="G170" s="10"/>
      <c r="H170" s="33"/>
      <c r="I170" s="33"/>
      <c r="J170" s="33"/>
      <c r="K170" s="33"/>
      <c r="L170" s="33"/>
      <c r="M170" s="33"/>
      <c r="N170" s="33"/>
      <c r="O170" s="9"/>
      <c r="P170" s="9"/>
      <c r="Q170" s="8"/>
      <c r="R170" s="8"/>
      <c r="S170" s="12"/>
      <c r="T170" s="32"/>
      <c r="U170" s="32"/>
      <c r="V170" s="32"/>
      <c r="W170" s="32"/>
      <c r="X170" s="8"/>
      <c r="Y170" s="32"/>
      <c r="Z170" s="8"/>
      <c r="AA170" s="8"/>
    </row>
    <row r="171" spans="1:27" s="93" customFormat="1" ht="14.25" customHeight="1" x14ac:dyDescent="0.25">
      <c r="A171" s="8"/>
      <c r="B171" s="9"/>
      <c r="C171" s="2"/>
      <c r="D171" s="11"/>
      <c r="E171" s="9"/>
      <c r="F171" s="10"/>
      <c r="G171" s="10"/>
      <c r="H171" s="33"/>
      <c r="I171" s="33"/>
      <c r="J171" s="33"/>
      <c r="K171" s="33"/>
      <c r="L171" s="33"/>
      <c r="M171" s="33"/>
      <c r="N171" s="33"/>
      <c r="O171" s="9"/>
      <c r="P171" s="9"/>
      <c r="Q171" s="8"/>
      <c r="R171" s="8"/>
      <c r="S171" s="12"/>
      <c r="T171" s="32"/>
      <c r="U171" s="32"/>
      <c r="V171" s="32"/>
      <c r="W171" s="32"/>
      <c r="X171" s="8"/>
      <c r="Y171" s="32"/>
      <c r="Z171" s="8"/>
      <c r="AA171" s="8"/>
    </row>
    <row r="172" spans="1:27" s="93" customFormat="1" ht="14.25" customHeight="1" x14ac:dyDescent="0.25">
      <c r="A172" s="8"/>
      <c r="B172" s="9"/>
      <c r="C172" s="2"/>
      <c r="D172" s="11"/>
      <c r="E172" s="9"/>
      <c r="F172" s="10"/>
      <c r="G172" s="10"/>
      <c r="H172" s="33"/>
      <c r="I172" s="33"/>
      <c r="J172" s="33"/>
      <c r="K172" s="33"/>
      <c r="L172" s="33"/>
      <c r="M172" s="33"/>
      <c r="N172" s="33"/>
      <c r="O172" s="9"/>
      <c r="P172" s="9"/>
      <c r="Q172" s="8"/>
      <c r="R172" s="8"/>
      <c r="S172" s="12"/>
      <c r="T172" s="32"/>
      <c r="U172" s="32"/>
      <c r="V172" s="32"/>
      <c r="W172" s="32"/>
      <c r="X172" s="8"/>
      <c r="Y172" s="32"/>
      <c r="Z172" s="8"/>
      <c r="AA172" s="8"/>
    </row>
    <row r="173" spans="1:27" s="93" customFormat="1" ht="14.25" customHeight="1" x14ac:dyDescent="0.25">
      <c r="A173" s="8"/>
      <c r="B173" s="9"/>
      <c r="C173" s="2"/>
      <c r="D173" s="11"/>
      <c r="E173" s="9"/>
      <c r="F173" s="10"/>
      <c r="G173" s="10"/>
      <c r="H173" s="33"/>
      <c r="I173" s="33"/>
      <c r="J173" s="33"/>
      <c r="K173" s="33"/>
      <c r="L173" s="33"/>
      <c r="M173" s="33"/>
      <c r="N173" s="33"/>
      <c r="O173" s="9"/>
      <c r="P173" s="9"/>
      <c r="Q173" s="8"/>
      <c r="R173" s="8"/>
      <c r="S173" s="12"/>
      <c r="T173" s="32"/>
      <c r="U173" s="32"/>
      <c r="V173" s="32"/>
      <c r="W173" s="32"/>
      <c r="X173" s="8"/>
      <c r="Y173" s="32"/>
      <c r="Z173" s="8"/>
      <c r="AA173" s="8"/>
    </row>
    <row r="174" spans="1:27" s="122" customFormat="1" x14ac:dyDescent="0.25">
      <c r="A174" s="8"/>
      <c r="B174" s="9"/>
      <c r="C174" s="2"/>
      <c r="D174" s="11"/>
      <c r="E174" s="9"/>
      <c r="F174" s="10"/>
      <c r="G174" s="10"/>
      <c r="H174" s="33"/>
      <c r="I174" s="33"/>
      <c r="J174" s="33"/>
      <c r="K174" s="33"/>
      <c r="L174" s="33"/>
      <c r="M174" s="33"/>
      <c r="N174" s="33"/>
      <c r="O174" s="9"/>
      <c r="P174" s="9"/>
      <c r="Q174" s="8"/>
      <c r="R174" s="8"/>
      <c r="S174" s="12"/>
      <c r="T174" s="32"/>
      <c r="U174" s="32"/>
      <c r="V174" s="32"/>
      <c r="W174" s="32"/>
      <c r="X174" s="8"/>
      <c r="Y174" s="32"/>
      <c r="Z174" s="8"/>
      <c r="AA174" s="8"/>
    </row>
    <row r="175" spans="1:27" s="93" customFormat="1" ht="14.25" customHeight="1" x14ac:dyDescent="0.25">
      <c r="A175" s="8"/>
      <c r="B175" s="9"/>
      <c r="C175" s="2"/>
      <c r="D175" s="11"/>
      <c r="E175" s="9"/>
      <c r="F175" s="10"/>
      <c r="G175" s="10"/>
      <c r="H175" s="33"/>
      <c r="I175" s="33"/>
      <c r="J175" s="33"/>
      <c r="K175" s="33"/>
      <c r="L175" s="33"/>
      <c r="M175" s="33"/>
      <c r="N175" s="33"/>
      <c r="O175" s="9"/>
      <c r="P175" s="9"/>
      <c r="Q175" s="8"/>
      <c r="R175" s="8"/>
      <c r="S175" s="12"/>
      <c r="T175" s="32"/>
      <c r="U175" s="32"/>
      <c r="V175" s="32"/>
      <c r="W175" s="32"/>
      <c r="X175" s="8"/>
      <c r="Y175" s="32"/>
      <c r="Z175" s="8"/>
      <c r="AA175" s="8"/>
    </row>
    <row r="176" spans="1:27" s="52" customFormat="1" x14ac:dyDescent="0.25">
      <c r="A176" s="8"/>
      <c r="B176" s="9"/>
      <c r="C176" s="2"/>
      <c r="D176" s="11"/>
      <c r="E176" s="9"/>
      <c r="F176" s="10"/>
      <c r="G176" s="10"/>
      <c r="H176" s="33"/>
      <c r="I176" s="33"/>
      <c r="J176" s="33"/>
      <c r="K176" s="33"/>
      <c r="L176" s="33"/>
      <c r="M176" s="33"/>
      <c r="N176" s="33"/>
      <c r="O176" s="9"/>
      <c r="P176" s="9"/>
      <c r="Q176" s="8"/>
      <c r="R176" s="8"/>
      <c r="S176" s="12"/>
      <c r="T176" s="32"/>
      <c r="U176" s="32"/>
      <c r="V176" s="32"/>
      <c r="W176" s="32"/>
      <c r="X176" s="8"/>
      <c r="Y176" s="32"/>
      <c r="Z176" s="8"/>
      <c r="AA176" s="8"/>
    </row>
    <row r="177" spans="1:27" s="52" customFormat="1" x14ac:dyDescent="0.25">
      <c r="A177" s="8"/>
      <c r="B177" s="9"/>
      <c r="C177" s="2"/>
      <c r="D177" s="11"/>
      <c r="E177" s="9"/>
      <c r="F177" s="10"/>
      <c r="G177" s="10"/>
      <c r="H177" s="33"/>
      <c r="I177" s="33"/>
      <c r="J177" s="33"/>
      <c r="K177" s="33"/>
      <c r="L177" s="33"/>
      <c r="M177" s="33"/>
      <c r="N177" s="33"/>
      <c r="O177" s="9"/>
      <c r="P177" s="9"/>
      <c r="Q177" s="8"/>
      <c r="R177" s="8"/>
      <c r="S177" s="12"/>
      <c r="T177" s="32"/>
      <c r="U177" s="32"/>
      <c r="V177" s="32"/>
      <c r="W177" s="32"/>
      <c r="X177" s="8"/>
      <c r="Y177" s="32"/>
      <c r="Z177" s="8"/>
      <c r="AA177" s="8"/>
    </row>
    <row r="178" spans="1:27" s="52" customFormat="1" x14ac:dyDescent="0.25">
      <c r="A178" s="8"/>
      <c r="B178" s="9"/>
      <c r="C178" s="2"/>
      <c r="D178" s="11"/>
      <c r="E178" s="9"/>
      <c r="F178" s="10"/>
      <c r="G178" s="10"/>
      <c r="H178" s="33"/>
      <c r="I178" s="33"/>
      <c r="J178" s="33"/>
      <c r="K178" s="33"/>
      <c r="L178" s="33"/>
      <c r="M178" s="33"/>
      <c r="N178" s="33"/>
      <c r="O178" s="9"/>
      <c r="P178" s="9"/>
      <c r="Q178" s="8"/>
      <c r="R178" s="8"/>
      <c r="S178" s="12"/>
      <c r="T178" s="32"/>
      <c r="U178" s="32"/>
      <c r="V178" s="32"/>
      <c r="W178" s="32"/>
      <c r="X178" s="8"/>
      <c r="Y178" s="32"/>
      <c r="Z178" s="8"/>
      <c r="AA178" s="8"/>
    </row>
    <row r="179" spans="1:27" s="52" customFormat="1" x14ac:dyDescent="0.25">
      <c r="A179" s="8"/>
      <c r="B179" s="9"/>
      <c r="C179" s="2"/>
      <c r="D179" s="11"/>
      <c r="E179" s="9"/>
      <c r="F179" s="10"/>
      <c r="G179" s="10"/>
      <c r="H179" s="33"/>
      <c r="I179" s="33"/>
      <c r="J179" s="33"/>
      <c r="K179" s="33"/>
      <c r="L179" s="33"/>
      <c r="M179" s="33"/>
      <c r="N179" s="33"/>
      <c r="O179" s="9"/>
      <c r="P179" s="9"/>
      <c r="Q179" s="8"/>
      <c r="R179" s="8"/>
      <c r="S179" s="12"/>
      <c r="T179" s="32"/>
      <c r="U179" s="32"/>
      <c r="V179" s="32"/>
      <c r="W179" s="32"/>
      <c r="X179" s="8"/>
      <c r="Y179" s="32"/>
      <c r="Z179" s="8"/>
      <c r="AA179" s="8"/>
    </row>
    <row r="180" spans="1:27" s="52" customFormat="1" x14ac:dyDescent="0.25">
      <c r="A180" s="8"/>
      <c r="B180" s="9"/>
      <c r="C180" s="2"/>
      <c r="D180" s="11"/>
      <c r="E180" s="9"/>
      <c r="F180" s="10"/>
      <c r="G180" s="10"/>
      <c r="H180" s="33"/>
      <c r="I180" s="33"/>
      <c r="J180" s="33"/>
      <c r="K180" s="33"/>
      <c r="L180" s="33"/>
      <c r="M180" s="33"/>
      <c r="N180" s="33"/>
      <c r="O180" s="9"/>
      <c r="P180" s="9"/>
      <c r="Q180" s="8"/>
      <c r="R180" s="8"/>
      <c r="S180" s="12"/>
      <c r="T180" s="32"/>
      <c r="U180" s="32"/>
      <c r="V180" s="32"/>
      <c r="W180" s="32"/>
      <c r="X180" s="8"/>
      <c r="Y180" s="32"/>
      <c r="Z180" s="8"/>
      <c r="AA180" s="8"/>
    </row>
    <row r="181" spans="1:27" s="52" customFormat="1" x14ac:dyDescent="0.25">
      <c r="A181" s="8"/>
      <c r="B181" s="9"/>
      <c r="C181" s="2"/>
      <c r="D181" s="11"/>
      <c r="E181" s="9"/>
      <c r="F181" s="10"/>
      <c r="G181" s="10"/>
      <c r="H181" s="33"/>
      <c r="I181" s="33"/>
      <c r="J181" s="33"/>
      <c r="K181" s="33"/>
      <c r="L181" s="33"/>
      <c r="M181" s="33"/>
      <c r="N181" s="33"/>
      <c r="O181" s="9"/>
      <c r="P181" s="9"/>
      <c r="Q181" s="8"/>
      <c r="R181" s="8"/>
      <c r="S181" s="12"/>
      <c r="T181" s="32"/>
      <c r="U181" s="32"/>
      <c r="V181" s="32"/>
      <c r="W181" s="32"/>
      <c r="X181" s="8"/>
      <c r="Y181" s="32"/>
      <c r="Z181" s="8"/>
      <c r="AA181" s="8"/>
    </row>
    <row r="182" spans="1:27" s="52" customFormat="1" ht="15" customHeight="1" x14ac:dyDescent="0.25">
      <c r="A182" s="8"/>
      <c r="B182" s="9"/>
      <c r="C182" s="2"/>
      <c r="D182" s="11"/>
      <c r="E182" s="9"/>
      <c r="F182" s="10"/>
      <c r="G182" s="10"/>
      <c r="H182" s="33"/>
      <c r="I182" s="33"/>
      <c r="J182" s="33"/>
      <c r="K182" s="33"/>
      <c r="L182" s="33"/>
      <c r="M182" s="33"/>
      <c r="N182" s="33"/>
      <c r="O182" s="9"/>
      <c r="P182" s="9"/>
      <c r="Q182" s="8"/>
      <c r="R182" s="8"/>
      <c r="S182" s="12"/>
      <c r="T182" s="32"/>
      <c r="U182" s="32"/>
      <c r="V182" s="32"/>
      <c r="W182" s="32"/>
      <c r="X182" s="8"/>
      <c r="Y182" s="32"/>
      <c r="Z182" s="8"/>
      <c r="AA182" s="8"/>
    </row>
    <row r="183" spans="1:27" s="52" customFormat="1" x14ac:dyDescent="0.25">
      <c r="A183" s="8"/>
      <c r="B183" s="9"/>
      <c r="C183" s="2"/>
      <c r="D183" s="11"/>
      <c r="E183" s="9"/>
      <c r="F183" s="10"/>
      <c r="G183" s="10"/>
      <c r="H183" s="33"/>
      <c r="I183" s="33"/>
      <c r="J183" s="33"/>
      <c r="K183" s="33"/>
      <c r="L183" s="33"/>
      <c r="M183" s="33"/>
      <c r="N183" s="33"/>
      <c r="O183" s="9"/>
      <c r="P183" s="9"/>
      <c r="Q183" s="8"/>
      <c r="R183" s="8"/>
      <c r="S183" s="12"/>
      <c r="T183" s="32"/>
      <c r="U183" s="32"/>
      <c r="V183" s="32"/>
      <c r="W183" s="32"/>
      <c r="X183" s="8"/>
      <c r="Y183" s="32"/>
      <c r="Z183" s="8"/>
      <c r="AA183" s="8"/>
    </row>
    <row r="184" spans="1:27" s="52" customFormat="1" x14ac:dyDescent="0.25">
      <c r="A184" s="8"/>
      <c r="B184" s="9"/>
      <c r="C184" s="2"/>
      <c r="D184" s="11"/>
      <c r="E184" s="9"/>
      <c r="F184" s="10"/>
      <c r="G184" s="10"/>
      <c r="H184" s="33"/>
      <c r="I184" s="33"/>
      <c r="J184" s="33"/>
      <c r="K184" s="33"/>
      <c r="L184" s="33"/>
      <c r="M184" s="33"/>
      <c r="N184" s="33"/>
      <c r="O184" s="9"/>
      <c r="P184" s="9"/>
      <c r="Q184" s="8"/>
      <c r="R184" s="8"/>
      <c r="S184" s="12"/>
      <c r="T184" s="32"/>
      <c r="U184" s="32"/>
      <c r="V184" s="32"/>
      <c r="W184" s="32"/>
      <c r="X184" s="8"/>
      <c r="Y184" s="32"/>
      <c r="Z184" s="8"/>
      <c r="AA184" s="8"/>
    </row>
    <row r="185" spans="1:27" s="52" customFormat="1" x14ac:dyDescent="0.25">
      <c r="A185" s="8"/>
      <c r="B185" s="9"/>
      <c r="C185" s="2"/>
      <c r="D185" s="11"/>
      <c r="E185" s="9"/>
      <c r="F185" s="10"/>
      <c r="G185" s="10"/>
      <c r="H185" s="33"/>
      <c r="I185" s="33"/>
      <c r="J185" s="33"/>
      <c r="K185" s="33"/>
      <c r="L185" s="33"/>
      <c r="M185" s="33"/>
      <c r="N185" s="33"/>
      <c r="O185" s="9"/>
      <c r="P185" s="9"/>
      <c r="Q185" s="8"/>
      <c r="R185" s="8"/>
      <c r="S185" s="12"/>
      <c r="T185" s="32"/>
      <c r="U185" s="32"/>
      <c r="V185" s="32"/>
      <c r="W185" s="32"/>
      <c r="X185" s="8"/>
      <c r="Y185" s="32"/>
      <c r="Z185" s="8"/>
      <c r="AA185" s="8"/>
    </row>
    <row r="186" spans="1:27" s="52" customFormat="1" x14ac:dyDescent="0.25">
      <c r="A186" s="8"/>
      <c r="B186" s="9"/>
      <c r="C186" s="2"/>
      <c r="D186" s="11"/>
      <c r="E186" s="9"/>
      <c r="F186" s="10"/>
      <c r="G186" s="10"/>
      <c r="H186" s="33"/>
      <c r="I186" s="33"/>
      <c r="J186" s="33"/>
      <c r="K186" s="33"/>
      <c r="L186" s="33"/>
      <c r="M186" s="33"/>
      <c r="N186" s="33"/>
      <c r="O186" s="9"/>
      <c r="P186" s="9"/>
      <c r="Q186" s="8"/>
      <c r="R186" s="8"/>
      <c r="S186" s="12"/>
      <c r="T186" s="32"/>
      <c r="U186" s="32"/>
      <c r="V186" s="32"/>
      <c r="W186" s="32"/>
      <c r="X186" s="8"/>
      <c r="Y186" s="32"/>
      <c r="Z186" s="8"/>
      <c r="AA186" s="8"/>
    </row>
    <row r="187" spans="1:27" s="52" customFormat="1" x14ac:dyDescent="0.25">
      <c r="A187" s="8"/>
      <c r="B187" s="9"/>
      <c r="C187" s="2"/>
      <c r="D187" s="11"/>
      <c r="E187" s="9"/>
      <c r="F187" s="10"/>
      <c r="G187" s="10"/>
      <c r="H187" s="33"/>
      <c r="I187" s="33"/>
      <c r="J187" s="33"/>
      <c r="K187" s="33"/>
      <c r="L187" s="33"/>
      <c r="M187" s="33"/>
      <c r="N187" s="33"/>
      <c r="O187" s="9"/>
      <c r="P187" s="9"/>
      <c r="Q187" s="8"/>
      <c r="R187" s="8"/>
      <c r="S187" s="12"/>
      <c r="T187" s="32"/>
      <c r="U187" s="32"/>
      <c r="V187" s="32"/>
      <c r="W187" s="32"/>
      <c r="X187" s="8"/>
      <c r="Y187" s="32"/>
      <c r="Z187" s="8"/>
      <c r="AA187" s="8"/>
    </row>
    <row r="188" spans="1:27" s="52" customFormat="1" x14ac:dyDescent="0.25">
      <c r="A188" s="8"/>
      <c r="B188" s="9"/>
      <c r="C188" s="2"/>
      <c r="D188" s="11"/>
      <c r="E188" s="9"/>
      <c r="F188" s="10"/>
      <c r="G188" s="10"/>
      <c r="H188" s="33"/>
      <c r="I188" s="33"/>
      <c r="J188" s="33"/>
      <c r="K188" s="33"/>
      <c r="L188" s="33"/>
      <c r="M188" s="33"/>
      <c r="N188" s="33"/>
      <c r="O188" s="9"/>
      <c r="P188" s="9"/>
      <c r="Q188" s="8"/>
      <c r="R188" s="8"/>
      <c r="S188" s="12"/>
      <c r="T188" s="32"/>
      <c r="U188" s="32"/>
      <c r="V188" s="32"/>
      <c r="W188" s="32"/>
      <c r="X188" s="8"/>
      <c r="Y188" s="32"/>
      <c r="Z188" s="8"/>
      <c r="AA188" s="8"/>
    </row>
    <row r="189" spans="1:27" s="52" customFormat="1" x14ac:dyDescent="0.25">
      <c r="A189" s="8"/>
      <c r="B189" s="9"/>
      <c r="C189" s="2"/>
      <c r="D189" s="11"/>
      <c r="E189" s="9"/>
      <c r="F189" s="10"/>
      <c r="G189" s="10"/>
      <c r="H189" s="33"/>
      <c r="I189" s="33"/>
      <c r="J189" s="33"/>
      <c r="K189" s="33"/>
      <c r="L189" s="33"/>
      <c r="M189" s="33"/>
      <c r="N189" s="33"/>
      <c r="O189" s="9"/>
      <c r="P189" s="9"/>
      <c r="Q189" s="8"/>
      <c r="R189" s="8"/>
      <c r="S189" s="12"/>
      <c r="T189" s="32"/>
      <c r="U189" s="32"/>
      <c r="V189" s="32"/>
      <c r="W189" s="32"/>
      <c r="X189" s="8"/>
      <c r="Y189" s="32"/>
      <c r="Z189" s="8"/>
      <c r="AA189" s="8"/>
    </row>
    <row r="190" spans="1:27" s="52" customFormat="1" x14ac:dyDescent="0.25">
      <c r="A190" s="8"/>
      <c r="B190" s="9"/>
      <c r="C190" s="2"/>
      <c r="D190" s="11"/>
      <c r="E190" s="9"/>
      <c r="F190" s="10"/>
      <c r="G190" s="10"/>
      <c r="H190" s="33"/>
      <c r="I190" s="33"/>
      <c r="J190" s="33"/>
      <c r="K190" s="33"/>
      <c r="L190" s="33"/>
      <c r="M190" s="33"/>
      <c r="N190" s="33"/>
      <c r="O190" s="9"/>
      <c r="P190" s="9"/>
      <c r="Q190" s="8"/>
      <c r="R190" s="8"/>
      <c r="S190" s="12"/>
      <c r="T190" s="32"/>
      <c r="U190" s="32"/>
      <c r="V190" s="32"/>
      <c r="W190" s="32"/>
      <c r="X190" s="8"/>
      <c r="Y190" s="32"/>
      <c r="Z190" s="8"/>
      <c r="AA190" s="8"/>
    </row>
    <row r="191" spans="1:27" s="52" customFormat="1" x14ac:dyDescent="0.25">
      <c r="A191" s="8"/>
      <c r="B191" s="9"/>
      <c r="C191" s="2"/>
      <c r="D191" s="11"/>
      <c r="E191" s="9"/>
      <c r="F191" s="10"/>
      <c r="G191" s="10"/>
      <c r="H191" s="33"/>
      <c r="I191" s="33"/>
      <c r="J191" s="33"/>
      <c r="K191" s="33"/>
      <c r="L191" s="33"/>
      <c r="M191" s="33"/>
      <c r="N191" s="33"/>
      <c r="O191" s="9"/>
      <c r="P191" s="9"/>
      <c r="Q191" s="8"/>
      <c r="R191" s="8"/>
      <c r="S191" s="12"/>
      <c r="T191" s="32"/>
      <c r="U191" s="32"/>
      <c r="V191" s="32"/>
      <c r="W191" s="32"/>
      <c r="X191" s="8"/>
      <c r="Y191" s="32"/>
      <c r="Z191" s="8"/>
      <c r="AA191" s="8"/>
    </row>
    <row r="192" spans="1:27" s="52" customFormat="1" x14ac:dyDescent="0.25">
      <c r="A192" s="8"/>
      <c r="B192" s="9"/>
      <c r="C192" s="2"/>
      <c r="D192" s="11"/>
      <c r="E192" s="9"/>
      <c r="F192" s="10"/>
      <c r="G192" s="10"/>
      <c r="H192" s="33"/>
      <c r="I192" s="33"/>
      <c r="J192" s="33"/>
      <c r="K192" s="33"/>
      <c r="L192" s="33"/>
      <c r="M192" s="33"/>
      <c r="N192" s="33"/>
      <c r="O192" s="9"/>
      <c r="P192" s="9"/>
      <c r="Q192" s="8"/>
      <c r="R192" s="8"/>
      <c r="S192" s="12"/>
      <c r="T192" s="32"/>
      <c r="U192" s="32"/>
      <c r="V192" s="32"/>
      <c r="W192" s="32"/>
      <c r="X192" s="8"/>
      <c r="Y192" s="32"/>
      <c r="Z192" s="8"/>
      <c r="AA192" s="8"/>
    </row>
    <row r="193" spans="1:27" s="52" customFormat="1" x14ac:dyDescent="0.25">
      <c r="A193" s="8"/>
      <c r="B193" s="9"/>
      <c r="C193" s="2"/>
      <c r="D193" s="11"/>
      <c r="E193" s="9"/>
      <c r="F193" s="10"/>
      <c r="G193" s="10"/>
      <c r="H193" s="33"/>
      <c r="I193" s="33"/>
      <c r="J193" s="33"/>
      <c r="K193" s="33"/>
      <c r="L193" s="33"/>
      <c r="M193" s="33"/>
      <c r="N193" s="33"/>
      <c r="O193" s="9"/>
      <c r="P193" s="9"/>
      <c r="Q193" s="8"/>
      <c r="R193" s="8"/>
      <c r="S193" s="12"/>
      <c r="T193" s="32"/>
      <c r="U193" s="32"/>
      <c r="V193" s="32"/>
      <c r="W193" s="32"/>
      <c r="X193" s="8"/>
      <c r="Y193" s="32"/>
      <c r="Z193" s="8"/>
      <c r="AA193" s="8"/>
    </row>
    <row r="194" spans="1:27" s="52" customFormat="1" x14ac:dyDescent="0.25">
      <c r="A194" s="8"/>
      <c r="B194" s="9"/>
      <c r="C194" s="2"/>
      <c r="D194" s="11"/>
      <c r="E194" s="9"/>
      <c r="F194" s="10"/>
      <c r="G194" s="10"/>
      <c r="H194" s="33"/>
      <c r="I194" s="33"/>
      <c r="J194" s="33"/>
      <c r="K194" s="33"/>
      <c r="L194" s="33"/>
      <c r="M194" s="33"/>
      <c r="N194" s="33"/>
      <c r="O194" s="9"/>
      <c r="P194" s="9"/>
      <c r="Q194" s="8"/>
      <c r="R194" s="8"/>
      <c r="S194" s="12"/>
      <c r="T194" s="32"/>
      <c r="U194" s="32"/>
      <c r="V194" s="32"/>
      <c r="W194" s="32"/>
      <c r="X194" s="8"/>
      <c r="Y194" s="32"/>
      <c r="Z194" s="8"/>
      <c r="AA194" s="8"/>
    </row>
    <row r="195" spans="1:27" s="52" customFormat="1" x14ac:dyDescent="0.25">
      <c r="A195" s="8"/>
      <c r="B195" s="9"/>
      <c r="C195" s="2"/>
      <c r="D195" s="11"/>
      <c r="E195" s="9"/>
      <c r="F195" s="10"/>
      <c r="G195" s="10"/>
      <c r="H195" s="33"/>
      <c r="I195" s="33"/>
      <c r="J195" s="33"/>
      <c r="K195" s="33"/>
      <c r="L195" s="33"/>
      <c r="M195" s="33"/>
      <c r="N195" s="33"/>
      <c r="O195" s="9"/>
      <c r="P195" s="9"/>
      <c r="Q195" s="8"/>
      <c r="R195" s="8"/>
      <c r="S195" s="12"/>
      <c r="T195" s="32"/>
      <c r="U195" s="32"/>
      <c r="V195" s="32"/>
      <c r="W195" s="32"/>
      <c r="X195" s="8"/>
      <c r="Y195" s="32"/>
      <c r="Z195" s="8"/>
      <c r="AA195" s="8"/>
    </row>
    <row r="196" spans="1:27" s="52" customFormat="1" x14ac:dyDescent="0.25">
      <c r="A196" s="8"/>
      <c r="B196" s="9"/>
      <c r="C196" s="2"/>
      <c r="D196" s="11"/>
      <c r="E196" s="9"/>
      <c r="F196" s="10"/>
      <c r="G196" s="10"/>
      <c r="H196" s="33"/>
      <c r="I196" s="33"/>
      <c r="J196" s="33"/>
      <c r="K196" s="33"/>
      <c r="L196" s="33"/>
      <c r="M196" s="33"/>
      <c r="N196" s="33"/>
      <c r="O196" s="9"/>
      <c r="P196" s="9"/>
      <c r="Q196" s="8"/>
      <c r="R196" s="8"/>
      <c r="S196" s="12"/>
      <c r="T196" s="32"/>
      <c r="U196" s="32"/>
      <c r="V196" s="32"/>
      <c r="W196" s="32"/>
      <c r="X196" s="8"/>
      <c r="Y196" s="32"/>
      <c r="Z196" s="8"/>
      <c r="AA196" s="8"/>
    </row>
    <row r="197" spans="1:27" s="52" customFormat="1" x14ac:dyDescent="0.25">
      <c r="A197" s="8"/>
      <c r="B197" s="9"/>
      <c r="C197" s="2"/>
      <c r="D197" s="11"/>
      <c r="E197" s="9"/>
      <c r="F197" s="10"/>
      <c r="G197" s="10"/>
      <c r="H197" s="33"/>
      <c r="I197" s="33"/>
      <c r="J197" s="33"/>
      <c r="K197" s="33"/>
      <c r="L197" s="33"/>
      <c r="M197" s="33"/>
      <c r="N197" s="33"/>
      <c r="O197" s="9"/>
      <c r="P197" s="9"/>
      <c r="Q197" s="8"/>
      <c r="R197" s="8"/>
      <c r="S197" s="12"/>
      <c r="T197" s="32"/>
      <c r="U197" s="32"/>
      <c r="V197" s="32"/>
      <c r="W197" s="32"/>
      <c r="X197" s="8"/>
      <c r="Y197" s="32"/>
      <c r="Z197" s="8"/>
      <c r="AA197" s="8"/>
    </row>
    <row r="198" spans="1:27" s="52" customFormat="1" x14ac:dyDescent="0.25">
      <c r="A198" s="8"/>
      <c r="B198" s="9"/>
      <c r="C198" s="2"/>
      <c r="D198" s="11"/>
      <c r="E198" s="9"/>
      <c r="F198" s="10"/>
      <c r="G198" s="10"/>
      <c r="H198" s="33"/>
      <c r="I198" s="33"/>
      <c r="J198" s="33"/>
      <c r="K198" s="33"/>
      <c r="L198" s="33"/>
      <c r="M198" s="33"/>
      <c r="N198" s="33"/>
      <c r="O198" s="9"/>
      <c r="P198" s="9"/>
      <c r="Q198" s="8"/>
      <c r="R198" s="8"/>
      <c r="S198" s="12"/>
      <c r="T198" s="32"/>
      <c r="U198" s="32"/>
      <c r="V198" s="32"/>
      <c r="W198" s="32"/>
      <c r="X198" s="8"/>
      <c r="Y198" s="32"/>
      <c r="Z198" s="8"/>
      <c r="AA198" s="8"/>
    </row>
    <row r="199" spans="1:27" s="52" customFormat="1" x14ac:dyDescent="0.25">
      <c r="A199" s="8"/>
      <c r="B199" s="9"/>
      <c r="C199" s="2"/>
      <c r="D199" s="11"/>
      <c r="E199" s="9"/>
      <c r="F199" s="10"/>
      <c r="G199" s="10"/>
      <c r="H199" s="33"/>
      <c r="I199" s="33"/>
      <c r="J199" s="33"/>
      <c r="K199" s="33"/>
      <c r="L199" s="33"/>
      <c r="M199" s="33"/>
      <c r="N199" s="33"/>
      <c r="O199" s="9"/>
      <c r="P199" s="9"/>
      <c r="Q199" s="8"/>
      <c r="R199" s="8"/>
      <c r="S199" s="12"/>
      <c r="T199" s="32"/>
      <c r="U199" s="32"/>
      <c r="V199" s="32"/>
      <c r="W199" s="32"/>
      <c r="X199" s="8"/>
      <c r="Y199" s="32"/>
      <c r="Z199" s="8"/>
      <c r="AA199" s="8"/>
    </row>
    <row r="200" spans="1:27" s="52" customFormat="1" x14ac:dyDescent="0.25">
      <c r="A200" s="8"/>
      <c r="B200" s="9"/>
      <c r="C200" s="2"/>
      <c r="D200" s="11"/>
      <c r="E200" s="9"/>
      <c r="F200" s="10"/>
      <c r="G200" s="10"/>
      <c r="H200" s="33"/>
      <c r="I200" s="33"/>
      <c r="J200" s="33"/>
      <c r="K200" s="33"/>
      <c r="L200" s="33"/>
      <c r="M200" s="33"/>
      <c r="N200" s="33"/>
      <c r="O200" s="9"/>
      <c r="P200" s="9"/>
      <c r="Q200" s="8"/>
      <c r="R200" s="8"/>
      <c r="S200" s="12"/>
      <c r="T200" s="32"/>
      <c r="U200" s="32"/>
      <c r="V200" s="32"/>
      <c r="W200" s="32"/>
      <c r="X200" s="8"/>
      <c r="Y200" s="32"/>
      <c r="Z200" s="8"/>
      <c r="AA200" s="8"/>
    </row>
    <row r="201" spans="1:27" s="52" customFormat="1" x14ac:dyDescent="0.25">
      <c r="A201" s="8"/>
      <c r="B201" s="9"/>
      <c r="C201" s="2"/>
      <c r="D201" s="11"/>
      <c r="E201" s="9"/>
      <c r="F201" s="10"/>
      <c r="G201" s="10"/>
      <c r="H201" s="33"/>
      <c r="I201" s="33"/>
      <c r="J201" s="33"/>
      <c r="K201" s="33"/>
      <c r="L201" s="33"/>
      <c r="M201" s="33"/>
      <c r="N201" s="33"/>
      <c r="O201" s="9"/>
      <c r="P201" s="9"/>
      <c r="Q201" s="8"/>
      <c r="R201" s="8"/>
      <c r="S201" s="12"/>
      <c r="T201" s="32"/>
      <c r="U201" s="32"/>
      <c r="V201" s="32"/>
      <c r="W201" s="32"/>
      <c r="X201" s="8"/>
      <c r="Y201" s="32"/>
      <c r="Z201" s="8"/>
      <c r="AA201" s="8"/>
    </row>
    <row r="202" spans="1:27" s="52" customFormat="1" x14ac:dyDescent="0.25">
      <c r="A202" s="8"/>
      <c r="B202" s="9"/>
      <c r="C202" s="2"/>
      <c r="D202" s="11"/>
      <c r="E202" s="9"/>
      <c r="F202" s="10"/>
      <c r="G202" s="10"/>
      <c r="H202" s="33"/>
      <c r="I202" s="33"/>
      <c r="J202" s="33"/>
      <c r="K202" s="33"/>
      <c r="L202" s="33"/>
      <c r="M202" s="33"/>
      <c r="N202" s="33"/>
      <c r="O202" s="9"/>
      <c r="P202" s="9"/>
      <c r="Q202" s="8"/>
      <c r="R202" s="8"/>
      <c r="S202" s="12"/>
      <c r="T202" s="32"/>
      <c r="U202" s="32"/>
      <c r="V202" s="32"/>
      <c r="W202" s="32"/>
      <c r="X202" s="8"/>
      <c r="Y202" s="32"/>
      <c r="Z202" s="8"/>
      <c r="AA202" s="8"/>
    </row>
    <row r="203" spans="1:27" s="15" customFormat="1" ht="14.25" customHeight="1" x14ac:dyDescent="0.25">
      <c r="A203" s="8"/>
      <c r="B203" s="9"/>
      <c r="C203" s="2"/>
      <c r="D203" s="11"/>
      <c r="E203" s="9"/>
      <c r="F203" s="10"/>
      <c r="G203" s="10"/>
      <c r="H203" s="33"/>
      <c r="I203" s="33"/>
      <c r="J203" s="33"/>
      <c r="K203" s="33"/>
      <c r="L203" s="33"/>
      <c r="M203" s="33"/>
      <c r="N203" s="33"/>
      <c r="O203" s="9"/>
      <c r="P203" s="9"/>
      <c r="Q203" s="8"/>
      <c r="R203" s="8"/>
      <c r="S203" s="12"/>
      <c r="T203" s="32"/>
      <c r="U203" s="32"/>
      <c r="V203" s="32"/>
      <c r="W203" s="32"/>
      <c r="X203" s="8"/>
      <c r="Y203" s="32"/>
      <c r="Z203" s="8"/>
      <c r="AA203" s="8"/>
    </row>
    <row r="204" spans="1:27" s="52" customFormat="1" ht="15" customHeight="1" x14ac:dyDescent="0.25">
      <c r="A204" s="8"/>
      <c r="B204" s="9"/>
      <c r="C204" s="2"/>
      <c r="D204" s="11"/>
      <c r="E204" s="9"/>
      <c r="F204" s="10"/>
      <c r="G204" s="10"/>
      <c r="H204" s="33"/>
      <c r="I204" s="33"/>
      <c r="J204" s="33"/>
      <c r="K204" s="33"/>
      <c r="L204" s="33"/>
      <c r="M204" s="33"/>
      <c r="N204" s="33"/>
      <c r="O204" s="9"/>
      <c r="P204" s="9"/>
      <c r="Q204" s="8"/>
      <c r="R204" s="8"/>
      <c r="S204" s="12"/>
      <c r="T204" s="32"/>
      <c r="U204" s="32"/>
      <c r="V204" s="32"/>
      <c r="W204" s="32"/>
      <c r="X204" s="8"/>
      <c r="Y204" s="32"/>
      <c r="Z204" s="8"/>
      <c r="AA204" s="8"/>
    </row>
    <row r="205" spans="1:27" s="52" customFormat="1" x14ac:dyDescent="0.25">
      <c r="A205" s="8"/>
      <c r="B205" s="9"/>
      <c r="C205" s="2"/>
      <c r="D205" s="11"/>
      <c r="E205" s="9"/>
      <c r="F205" s="10"/>
      <c r="G205" s="10"/>
      <c r="H205" s="33"/>
      <c r="I205" s="33"/>
      <c r="J205" s="33"/>
      <c r="K205" s="33"/>
      <c r="L205" s="33"/>
      <c r="M205" s="33"/>
      <c r="N205" s="33"/>
      <c r="O205" s="9"/>
      <c r="P205" s="9"/>
      <c r="Q205" s="8"/>
      <c r="R205" s="8"/>
      <c r="S205" s="12"/>
      <c r="T205" s="32"/>
      <c r="U205" s="32"/>
      <c r="V205" s="32"/>
      <c r="W205" s="32"/>
      <c r="X205" s="8"/>
      <c r="Y205" s="32"/>
      <c r="Z205" s="8"/>
      <c r="AA205" s="8"/>
    </row>
    <row r="206" spans="1:27" s="52" customFormat="1" x14ac:dyDescent="0.25">
      <c r="A206" s="8"/>
      <c r="B206" s="9"/>
      <c r="C206" s="2"/>
      <c r="D206" s="11"/>
      <c r="E206" s="9"/>
      <c r="F206" s="10"/>
      <c r="G206" s="10"/>
      <c r="H206" s="33"/>
      <c r="I206" s="33"/>
      <c r="J206" s="33"/>
      <c r="K206" s="33"/>
      <c r="L206" s="33"/>
      <c r="M206" s="33"/>
      <c r="N206" s="33"/>
      <c r="O206" s="9"/>
      <c r="P206" s="9"/>
      <c r="Q206" s="8"/>
      <c r="R206" s="8"/>
      <c r="S206" s="12"/>
      <c r="T206" s="32"/>
      <c r="U206" s="32"/>
      <c r="V206" s="32"/>
      <c r="W206" s="32"/>
      <c r="X206" s="8"/>
      <c r="Y206" s="32"/>
      <c r="Z206" s="8"/>
      <c r="AA206" s="8"/>
    </row>
    <row r="207" spans="1:27" s="52" customFormat="1" x14ac:dyDescent="0.25">
      <c r="A207" s="8"/>
      <c r="B207" s="9"/>
      <c r="C207" s="2"/>
      <c r="D207" s="11"/>
      <c r="E207" s="9"/>
      <c r="F207" s="10"/>
      <c r="G207" s="10"/>
      <c r="H207" s="33"/>
      <c r="I207" s="33"/>
      <c r="J207" s="33"/>
      <c r="K207" s="33"/>
      <c r="L207" s="33"/>
      <c r="M207" s="33"/>
      <c r="N207" s="33"/>
      <c r="O207" s="9"/>
      <c r="P207" s="9"/>
      <c r="Q207" s="8"/>
      <c r="R207" s="8"/>
      <c r="S207" s="12"/>
      <c r="T207" s="32"/>
      <c r="U207" s="32"/>
      <c r="V207" s="32"/>
      <c r="W207" s="32"/>
      <c r="X207" s="8"/>
      <c r="Y207" s="32"/>
      <c r="Z207" s="8"/>
      <c r="AA207" s="8"/>
    </row>
    <row r="208" spans="1:27" s="52" customFormat="1" x14ac:dyDescent="0.25">
      <c r="A208" s="8"/>
      <c r="B208" s="9"/>
      <c r="C208" s="2"/>
      <c r="D208" s="11"/>
      <c r="E208" s="9"/>
      <c r="F208" s="10"/>
      <c r="G208" s="10"/>
      <c r="H208" s="33"/>
      <c r="I208" s="33"/>
      <c r="J208" s="33"/>
      <c r="K208" s="33"/>
      <c r="L208" s="33"/>
      <c r="M208" s="33"/>
      <c r="N208" s="33"/>
      <c r="O208" s="9"/>
      <c r="P208" s="9"/>
      <c r="Q208" s="8"/>
      <c r="R208" s="8"/>
      <c r="S208" s="12"/>
      <c r="T208" s="32"/>
      <c r="U208" s="32"/>
      <c r="V208" s="32"/>
      <c r="W208" s="32"/>
      <c r="X208" s="8"/>
      <c r="Y208" s="32"/>
      <c r="Z208" s="8"/>
      <c r="AA208" s="8"/>
    </row>
    <row r="209" spans="1:27" s="52" customFormat="1" x14ac:dyDescent="0.25">
      <c r="A209" s="8"/>
      <c r="B209" s="9"/>
      <c r="C209" s="2"/>
      <c r="D209" s="11"/>
      <c r="E209" s="9"/>
      <c r="F209" s="10"/>
      <c r="G209" s="10"/>
      <c r="H209" s="33"/>
      <c r="I209" s="33"/>
      <c r="J209" s="33"/>
      <c r="K209" s="33"/>
      <c r="L209" s="33"/>
      <c r="M209" s="33"/>
      <c r="N209" s="33"/>
      <c r="O209" s="9"/>
      <c r="P209" s="9"/>
      <c r="Q209" s="8"/>
      <c r="R209" s="8"/>
      <c r="S209" s="12"/>
      <c r="T209" s="32"/>
      <c r="U209" s="32"/>
      <c r="V209" s="32"/>
      <c r="W209" s="32"/>
      <c r="X209" s="8"/>
      <c r="Y209" s="32"/>
      <c r="Z209" s="8"/>
      <c r="AA209" s="8"/>
    </row>
    <row r="210" spans="1:27" s="52" customFormat="1" x14ac:dyDescent="0.25">
      <c r="A210" s="8"/>
      <c r="B210" s="9"/>
      <c r="C210" s="2"/>
      <c r="D210" s="11"/>
      <c r="E210" s="9"/>
      <c r="F210" s="10"/>
      <c r="G210" s="10"/>
      <c r="H210" s="33"/>
      <c r="I210" s="33"/>
      <c r="J210" s="33"/>
      <c r="K210" s="33"/>
      <c r="L210" s="33"/>
      <c r="M210" s="33"/>
      <c r="N210" s="33"/>
      <c r="O210" s="9"/>
      <c r="P210" s="9"/>
      <c r="Q210" s="8"/>
      <c r="R210" s="8"/>
      <c r="S210" s="12"/>
      <c r="T210" s="32"/>
      <c r="U210" s="32"/>
      <c r="V210" s="32"/>
      <c r="W210" s="32"/>
      <c r="X210" s="8"/>
      <c r="Y210" s="32"/>
      <c r="Z210" s="8"/>
      <c r="AA210" s="8"/>
    </row>
    <row r="211" spans="1:27" s="52" customFormat="1" x14ac:dyDescent="0.25">
      <c r="A211" s="8"/>
      <c r="B211" s="9"/>
      <c r="C211" s="2"/>
      <c r="D211" s="11"/>
      <c r="E211" s="9"/>
      <c r="F211" s="10"/>
      <c r="G211" s="10"/>
      <c r="H211" s="33"/>
      <c r="I211" s="33"/>
      <c r="J211" s="33"/>
      <c r="K211" s="33"/>
      <c r="L211" s="33"/>
      <c r="M211" s="33"/>
      <c r="N211" s="33"/>
      <c r="O211" s="9"/>
      <c r="P211" s="9"/>
      <c r="Q211" s="8"/>
      <c r="R211" s="8"/>
      <c r="S211" s="12"/>
      <c r="T211" s="32"/>
      <c r="U211" s="32"/>
      <c r="V211" s="32"/>
      <c r="W211" s="32"/>
      <c r="X211" s="8"/>
      <c r="Y211" s="32"/>
      <c r="Z211" s="8"/>
      <c r="AA211" s="8"/>
    </row>
    <row r="212" spans="1:27" s="52" customFormat="1" x14ac:dyDescent="0.25">
      <c r="A212" s="8"/>
      <c r="B212" s="9"/>
      <c r="C212" s="2"/>
      <c r="D212" s="11"/>
      <c r="E212" s="9"/>
      <c r="F212" s="10"/>
      <c r="G212" s="10"/>
      <c r="H212" s="33"/>
      <c r="I212" s="33"/>
      <c r="J212" s="33"/>
      <c r="K212" s="33"/>
      <c r="L212" s="33"/>
      <c r="M212" s="33"/>
      <c r="N212" s="33"/>
      <c r="O212" s="9"/>
      <c r="P212" s="9"/>
      <c r="Q212" s="8"/>
      <c r="R212" s="8"/>
      <c r="S212" s="12"/>
      <c r="T212" s="32"/>
      <c r="U212" s="32"/>
      <c r="V212" s="32"/>
      <c r="W212" s="32"/>
      <c r="X212" s="8"/>
      <c r="Y212" s="32"/>
      <c r="Z212" s="8"/>
      <c r="AA212" s="8"/>
    </row>
    <row r="213" spans="1:27" s="52" customFormat="1" x14ac:dyDescent="0.25">
      <c r="A213" s="8"/>
      <c r="B213" s="9"/>
      <c r="C213" s="2"/>
      <c r="D213" s="11"/>
      <c r="E213" s="9"/>
      <c r="F213" s="10"/>
      <c r="G213" s="10"/>
      <c r="H213" s="33"/>
      <c r="I213" s="33"/>
      <c r="J213" s="33"/>
      <c r="K213" s="33"/>
      <c r="L213" s="33"/>
      <c r="M213" s="33"/>
      <c r="N213" s="33"/>
      <c r="O213" s="9"/>
      <c r="P213" s="9"/>
      <c r="Q213" s="8"/>
      <c r="R213" s="8"/>
      <c r="S213" s="12"/>
      <c r="T213" s="32"/>
      <c r="U213" s="32"/>
      <c r="V213" s="32"/>
      <c r="W213" s="32"/>
      <c r="X213" s="8"/>
      <c r="Y213" s="32"/>
      <c r="Z213" s="8"/>
      <c r="AA213" s="8"/>
    </row>
    <row r="214" spans="1:27" s="52" customFormat="1" x14ac:dyDescent="0.25">
      <c r="A214" s="8"/>
      <c r="B214" s="9"/>
      <c r="C214" s="2"/>
      <c r="D214" s="11"/>
      <c r="E214" s="9"/>
      <c r="F214" s="10"/>
      <c r="G214" s="10"/>
      <c r="H214" s="33"/>
      <c r="I214" s="33"/>
      <c r="J214" s="33"/>
      <c r="K214" s="33"/>
      <c r="L214" s="33"/>
      <c r="M214" s="33"/>
      <c r="N214" s="33"/>
      <c r="O214" s="9"/>
      <c r="P214" s="9"/>
      <c r="Q214" s="8"/>
      <c r="R214" s="8"/>
      <c r="S214" s="12"/>
      <c r="T214" s="32"/>
      <c r="U214" s="32"/>
      <c r="V214" s="32"/>
      <c r="W214" s="32"/>
      <c r="X214" s="8"/>
      <c r="Y214" s="32"/>
      <c r="Z214" s="8"/>
      <c r="AA214" s="8"/>
    </row>
    <row r="215" spans="1:27" s="52" customFormat="1" x14ac:dyDescent="0.25">
      <c r="A215" s="8"/>
      <c r="B215" s="9"/>
      <c r="C215" s="2"/>
      <c r="D215" s="11"/>
      <c r="E215" s="9"/>
      <c r="F215" s="10"/>
      <c r="G215" s="10"/>
      <c r="H215" s="33"/>
      <c r="I215" s="33"/>
      <c r="J215" s="33"/>
      <c r="K215" s="33"/>
      <c r="L215" s="33"/>
      <c r="M215" s="33"/>
      <c r="N215" s="33"/>
      <c r="O215" s="9"/>
      <c r="P215" s="9"/>
      <c r="Q215" s="8"/>
      <c r="R215" s="8"/>
      <c r="S215" s="12"/>
      <c r="T215" s="32"/>
      <c r="U215" s="32"/>
      <c r="V215" s="32"/>
      <c r="W215" s="32"/>
      <c r="X215" s="8"/>
      <c r="Y215" s="32"/>
      <c r="Z215" s="8"/>
      <c r="AA215" s="8"/>
    </row>
    <row r="216" spans="1:27" s="52" customFormat="1" x14ac:dyDescent="0.25">
      <c r="A216" s="8"/>
      <c r="B216" s="9"/>
      <c r="C216" s="2"/>
      <c r="D216" s="11"/>
      <c r="E216" s="9"/>
      <c r="F216" s="10"/>
      <c r="G216" s="10"/>
      <c r="H216" s="33"/>
      <c r="I216" s="33"/>
      <c r="J216" s="33"/>
      <c r="K216" s="33"/>
      <c r="L216" s="33"/>
      <c r="M216" s="33"/>
      <c r="N216" s="33"/>
      <c r="O216" s="9"/>
      <c r="P216" s="9"/>
      <c r="Q216" s="8"/>
      <c r="R216" s="8"/>
      <c r="S216" s="12"/>
      <c r="T216" s="32"/>
      <c r="U216" s="32"/>
      <c r="V216" s="32"/>
      <c r="W216" s="32"/>
      <c r="X216" s="8"/>
      <c r="Y216" s="32"/>
      <c r="Z216" s="8"/>
      <c r="AA216" s="8"/>
    </row>
    <row r="217" spans="1:27" s="52" customFormat="1" x14ac:dyDescent="0.25">
      <c r="A217" s="8"/>
      <c r="B217" s="9"/>
      <c r="C217" s="2"/>
      <c r="D217" s="11"/>
      <c r="E217" s="9"/>
      <c r="F217" s="10"/>
      <c r="G217" s="10"/>
      <c r="H217" s="33"/>
      <c r="I217" s="33"/>
      <c r="J217" s="33"/>
      <c r="K217" s="33"/>
      <c r="L217" s="33"/>
      <c r="M217" s="33"/>
      <c r="N217" s="33"/>
      <c r="O217" s="9"/>
      <c r="P217" s="9"/>
      <c r="Q217" s="8"/>
      <c r="R217" s="8"/>
      <c r="S217" s="12"/>
      <c r="T217" s="32"/>
      <c r="U217" s="32"/>
      <c r="V217" s="32"/>
      <c r="W217" s="32"/>
      <c r="X217" s="8"/>
      <c r="Y217" s="32"/>
      <c r="Z217" s="8"/>
      <c r="AA217" s="8"/>
    </row>
    <row r="218" spans="1:27" s="52" customFormat="1" x14ac:dyDescent="0.25">
      <c r="A218" s="8"/>
      <c r="B218" s="9"/>
      <c r="C218" s="2"/>
      <c r="D218" s="11"/>
      <c r="E218" s="9"/>
      <c r="F218" s="10"/>
      <c r="G218" s="10"/>
      <c r="H218" s="33"/>
      <c r="I218" s="33"/>
      <c r="J218" s="33"/>
      <c r="K218" s="33"/>
      <c r="L218" s="33"/>
      <c r="M218" s="33"/>
      <c r="N218" s="33"/>
      <c r="O218" s="9"/>
      <c r="P218" s="9"/>
      <c r="Q218" s="8"/>
      <c r="R218" s="8"/>
      <c r="S218" s="12"/>
      <c r="T218" s="32"/>
      <c r="U218" s="32"/>
      <c r="V218" s="32"/>
      <c r="W218" s="32"/>
      <c r="X218" s="8"/>
      <c r="Y218" s="32"/>
      <c r="Z218" s="8"/>
      <c r="AA218" s="8"/>
    </row>
    <row r="219" spans="1:27" s="52" customFormat="1" x14ac:dyDescent="0.25">
      <c r="A219" s="8"/>
      <c r="B219" s="9"/>
      <c r="C219" s="2"/>
      <c r="D219" s="11"/>
      <c r="E219" s="9"/>
      <c r="F219" s="10"/>
      <c r="G219" s="10"/>
      <c r="H219" s="33"/>
      <c r="I219" s="33"/>
      <c r="J219" s="33"/>
      <c r="K219" s="33"/>
      <c r="L219" s="33"/>
      <c r="M219" s="33"/>
      <c r="N219" s="33"/>
      <c r="O219" s="9"/>
      <c r="P219" s="9"/>
      <c r="Q219" s="8"/>
      <c r="R219" s="8"/>
      <c r="S219" s="12"/>
      <c r="T219" s="32"/>
      <c r="U219" s="32"/>
      <c r="V219" s="32"/>
      <c r="W219" s="32"/>
      <c r="X219" s="8"/>
      <c r="Y219" s="32"/>
      <c r="Z219" s="8"/>
      <c r="AA219" s="8"/>
    </row>
    <row r="220" spans="1:27" s="52" customFormat="1" x14ac:dyDescent="0.25">
      <c r="A220" s="8"/>
      <c r="B220" s="9"/>
      <c r="C220" s="2"/>
      <c r="D220" s="11"/>
      <c r="E220" s="9"/>
      <c r="F220" s="10"/>
      <c r="G220" s="10"/>
      <c r="H220" s="33"/>
      <c r="I220" s="33"/>
      <c r="J220" s="33"/>
      <c r="K220" s="33"/>
      <c r="L220" s="33"/>
      <c r="M220" s="33"/>
      <c r="N220" s="33"/>
      <c r="O220" s="9"/>
      <c r="P220" s="9"/>
      <c r="Q220" s="8"/>
      <c r="R220" s="8"/>
      <c r="S220" s="12"/>
      <c r="T220" s="32"/>
      <c r="U220" s="32"/>
      <c r="V220" s="32"/>
      <c r="W220" s="32"/>
      <c r="X220" s="8"/>
      <c r="Y220" s="32"/>
      <c r="Z220" s="8"/>
      <c r="AA220" s="8"/>
    </row>
    <row r="221" spans="1:27" s="52" customFormat="1" x14ac:dyDescent="0.25">
      <c r="A221" s="8"/>
      <c r="B221" s="9"/>
      <c r="C221" s="2"/>
      <c r="D221" s="11"/>
      <c r="E221" s="9"/>
      <c r="F221" s="10"/>
      <c r="G221" s="10"/>
      <c r="H221" s="33"/>
      <c r="I221" s="33"/>
      <c r="J221" s="33"/>
      <c r="K221" s="33"/>
      <c r="L221" s="33"/>
      <c r="M221" s="33"/>
      <c r="N221" s="33"/>
      <c r="O221" s="9"/>
      <c r="P221" s="9"/>
      <c r="Q221" s="8"/>
      <c r="R221" s="8"/>
      <c r="S221" s="12"/>
      <c r="T221" s="32"/>
      <c r="U221" s="32"/>
      <c r="V221" s="32"/>
      <c r="W221" s="32"/>
      <c r="X221" s="8"/>
      <c r="Y221" s="32"/>
      <c r="Z221" s="8"/>
      <c r="AA221" s="8"/>
    </row>
    <row r="222" spans="1:27" s="52" customFormat="1" x14ac:dyDescent="0.25">
      <c r="A222" s="8"/>
      <c r="B222" s="9"/>
      <c r="C222" s="2"/>
      <c r="D222" s="11"/>
      <c r="E222" s="9"/>
      <c r="F222" s="10"/>
      <c r="G222" s="10"/>
      <c r="H222" s="33"/>
      <c r="I222" s="33"/>
      <c r="J222" s="33"/>
      <c r="K222" s="33"/>
      <c r="L222" s="33"/>
      <c r="M222" s="33"/>
      <c r="N222" s="33"/>
      <c r="O222" s="9"/>
      <c r="P222" s="9"/>
      <c r="Q222" s="8"/>
      <c r="R222" s="8"/>
      <c r="S222" s="12"/>
      <c r="T222" s="32"/>
      <c r="U222" s="32"/>
      <c r="V222" s="32"/>
      <c r="W222" s="32"/>
      <c r="X222" s="8"/>
      <c r="Y222" s="32"/>
      <c r="Z222" s="8"/>
      <c r="AA222" s="8"/>
    </row>
    <row r="223" spans="1:27" s="52" customFormat="1" x14ac:dyDescent="0.25">
      <c r="A223" s="8"/>
      <c r="B223" s="9"/>
      <c r="C223" s="2"/>
      <c r="D223" s="11"/>
      <c r="E223" s="9"/>
      <c r="F223" s="10"/>
      <c r="G223" s="10"/>
      <c r="H223" s="33"/>
      <c r="I223" s="33"/>
      <c r="J223" s="33"/>
      <c r="K223" s="33"/>
      <c r="L223" s="33"/>
      <c r="M223" s="33"/>
      <c r="N223" s="33"/>
      <c r="O223" s="9"/>
      <c r="P223" s="9"/>
      <c r="Q223" s="8"/>
      <c r="R223" s="8"/>
      <c r="S223" s="12"/>
      <c r="T223" s="32"/>
      <c r="U223" s="32"/>
      <c r="V223" s="32"/>
      <c r="W223" s="32"/>
      <c r="X223" s="8"/>
      <c r="Y223" s="32"/>
      <c r="Z223" s="8"/>
      <c r="AA223" s="8"/>
    </row>
    <row r="224" spans="1:27" s="52" customFormat="1" x14ac:dyDescent="0.25">
      <c r="A224" s="8"/>
      <c r="B224" s="9"/>
      <c r="C224" s="2"/>
      <c r="D224" s="11"/>
      <c r="E224" s="9"/>
      <c r="F224" s="10"/>
      <c r="G224" s="10"/>
      <c r="H224" s="33"/>
      <c r="I224" s="33"/>
      <c r="J224" s="33"/>
      <c r="K224" s="33"/>
      <c r="L224" s="33"/>
      <c r="M224" s="33"/>
      <c r="N224" s="33"/>
      <c r="O224" s="9"/>
      <c r="P224" s="9"/>
      <c r="Q224" s="8"/>
      <c r="R224" s="8"/>
      <c r="S224" s="12"/>
      <c r="T224" s="32"/>
      <c r="U224" s="32"/>
      <c r="V224" s="32"/>
      <c r="W224" s="32"/>
      <c r="X224" s="8"/>
      <c r="Y224" s="32"/>
      <c r="Z224" s="8"/>
      <c r="AA224" s="8"/>
    </row>
    <row r="225" spans="1:27" s="52" customFormat="1" x14ac:dyDescent="0.25">
      <c r="A225" s="8"/>
      <c r="B225" s="9"/>
      <c r="C225" s="2"/>
      <c r="D225" s="11"/>
      <c r="E225" s="9"/>
      <c r="F225" s="10"/>
      <c r="G225" s="10"/>
      <c r="H225" s="33"/>
      <c r="I225" s="33"/>
      <c r="J225" s="33"/>
      <c r="K225" s="33"/>
      <c r="L225" s="33"/>
      <c r="M225" s="33"/>
      <c r="N225" s="33"/>
      <c r="O225" s="9"/>
      <c r="P225" s="9"/>
      <c r="Q225" s="8"/>
      <c r="R225" s="8"/>
      <c r="S225" s="12"/>
      <c r="T225" s="32"/>
      <c r="U225" s="32"/>
      <c r="V225" s="32"/>
      <c r="W225" s="32"/>
      <c r="X225" s="8"/>
      <c r="Y225" s="32"/>
      <c r="Z225" s="8"/>
      <c r="AA225" s="8"/>
    </row>
    <row r="226" spans="1:27" s="52" customFormat="1" x14ac:dyDescent="0.25">
      <c r="A226" s="8"/>
      <c r="B226" s="9"/>
      <c r="C226" s="2"/>
      <c r="D226" s="11"/>
      <c r="E226" s="9"/>
      <c r="F226" s="10"/>
      <c r="G226" s="10"/>
      <c r="H226" s="33"/>
      <c r="I226" s="33"/>
      <c r="J226" s="33"/>
      <c r="K226" s="33"/>
      <c r="L226" s="33"/>
      <c r="M226" s="33"/>
      <c r="N226" s="33"/>
      <c r="O226" s="9"/>
      <c r="P226" s="9"/>
      <c r="Q226" s="8"/>
      <c r="R226" s="8"/>
      <c r="S226" s="12"/>
      <c r="T226" s="32"/>
      <c r="U226" s="32"/>
      <c r="V226" s="32"/>
      <c r="W226" s="32"/>
      <c r="X226" s="8"/>
      <c r="Y226" s="32"/>
      <c r="Z226" s="8"/>
      <c r="AA226" s="8"/>
    </row>
    <row r="227" spans="1:27" s="52" customFormat="1" x14ac:dyDescent="0.25">
      <c r="A227" s="8"/>
      <c r="B227" s="9"/>
      <c r="C227" s="2"/>
      <c r="D227" s="11"/>
      <c r="E227" s="9"/>
      <c r="F227" s="10"/>
      <c r="G227" s="10"/>
      <c r="H227" s="33"/>
      <c r="I227" s="33"/>
      <c r="J227" s="33"/>
      <c r="K227" s="33"/>
      <c r="L227" s="33"/>
      <c r="M227" s="33"/>
      <c r="N227" s="33"/>
      <c r="O227" s="9"/>
      <c r="P227" s="9"/>
      <c r="Q227" s="8"/>
      <c r="R227" s="8"/>
      <c r="S227" s="12"/>
      <c r="T227" s="32"/>
      <c r="U227" s="32"/>
      <c r="V227" s="32"/>
      <c r="W227" s="32"/>
      <c r="X227" s="8"/>
      <c r="Y227" s="32"/>
      <c r="Z227" s="8"/>
      <c r="AA227" s="8"/>
    </row>
    <row r="228" spans="1:27" s="52" customFormat="1" x14ac:dyDescent="0.25">
      <c r="A228" s="8"/>
      <c r="B228" s="9"/>
      <c r="C228" s="2"/>
      <c r="D228" s="11"/>
      <c r="E228" s="9"/>
      <c r="F228" s="10"/>
      <c r="G228" s="10"/>
      <c r="H228" s="33"/>
      <c r="I228" s="33"/>
      <c r="J228" s="33"/>
      <c r="K228" s="33"/>
      <c r="L228" s="33"/>
      <c r="M228" s="33"/>
      <c r="N228" s="33"/>
      <c r="O228" s="9"/>
      <c r="P228" s="9"/>
      <c r="Q228" s="8"/>
      <c r="R228" s="8"/>
      <c r="S228" s="12"/>
      <c r="T228" s="32"/>
      <c r="U228" s="32"/>
      <c r="V228" s="32"/>
      <c r="W228" s="32"/>
      <c r="X228" s="8"/>
      <c r="Y228" s="32"/>
      <c r="Z228" s="8"/>
      <c r="AA228" s="8"/>
    </row>
    <row r="229" spans="1:27" s="52" customFormat="1" x14ac:dyDescent="0.25">
      <c r="A229" s="8"/>
      <c r="B229" s="9"/>
      <c r="C229" s="2"/>
      <c r="D229" s="11"/>
      <c r="E229" s="9"/>
      <c r="F229" s="10"/>
      <c r="G229" s="10"/>
      <c r="H229" s="33"/>
      <c r="I229" s="33"/>
      <c r="J229" s="33"/>
      <c r="K229" s="33"/>
      <c r="L229" s="33"/>
      <c r="M229" s="33"/>
      <c r="N229" s="33"/>
      <c r="O229" s="9"/>
      <c r="P229" s="9"/>
      <c r="Q229" s="8"/>
      <c r="R229" s="8"/>
      <c r="S229" s="12"/>
      <c r="T229" s="32"/>
      <c r="U229" s="32"/>
      <c r="V229" s="32"/>
      <c r="W229" s="32"/>
      <c r="X229" s="8"/>
      <c r="Y229" s="32"/>
      <c r="Z229" s="8"/>
      <c r="AA229" s="8"/>
    </row>
    <row r="230" spans="1:27" s="52" customFormat="1" x14ac:dyDescent="0.25">
      <c r="A230" s="8"/>
      <c r="B230" s="9"/>
      <c r="C230" s="2"/>
      <c r="D230" s="11"/>
      <c r="E230" s="9"/>
      <c r="F230" s="10"/>
      <c r="G230" s="10"/>
      <c r="H230" s="33"/>
      <c r="I230" s="33"/>
      <c r="J230" s="33"/>
      <c r="K230" s="33"/>
      <c r="L230" s="33"/>
      <c r="M230" s="33"/>
      <c r="N230" s="33"/>
      <c r="O230" s="9"/>
      <c r="P230" s="9"/>
      <c r="Q230" s="8"/>
      <c r="R230" s="8"/>
      <c r="S230" s="12"/>
      <c r="T230" s="32"/>
      <c r="U230" s="32"/>
      <c r="V230" s="32"/>
      <c r="W230" s="32"/>
      <c r="X230" s="8"/>
      <c r="Y230" s="32"/>
      <c r="Z230" s="8"/>
      <c r="AA230" s="8"/>
    </row>
    <row r="231" spans="1:27" s="52" customFormat="1" x14ac:dyDescent="0.25">
      <c r="A231" s="8"/>
      <c r="B231" s="9"/>
      <c r="C231" s="2"/>
      <c r="D231" s="11"/>
      <c r="E231" s="9"/>
      <c r="F231" s="10"/>
      <c r="G231" s="10"/>
      <c r="H231" s="33"/>
      <c r="I231" s="33"/>
      <c r="J231" s="33"/>
      <c r="K231" s="33"/>
      <c r="L231" s="33"/>
      <c r="M231" s="33"/>
      <c r="N231" s="33"/>
      <c r="O231" s="9"/>
      <c r="P231" s="9"/>
      <c r="Q231" s="8"/>
      <c r="R231" s="8"/>
      <c r="S231" s="12"/>
      <c r="T231" s="32"/>
      <c r="U231" s="32"/>
      <c r="V231" s="32"/>
      <c r="W231" s="32"/>
      <c r="X231" s="8"/>
      <c r="Y231" s="32"/>
      <c r="Z231" s="8"/>
      <c r="AA231" s="8"/>
    </row>
    <row r="232" spans="1:27" s="52" customFormat="1" x14ac:dyDescent="0.25">
      <c r="A232" s="8"/>
      <c r="B232" s="9"/>
      <c r="C232" s="2"/>
      <c r="D232" s="11"/>
      <c r="E232" s="9"/>
      <c r="F232" s="10"/>
      <c r="G232" s="10"/>
      <c r="H232" s="33"/>
      <c r="I232" s="33"/>
      <c r="J232" s="33"/>
      <c r="K232" s="33"/>
      <c r="L232" s="33"/>
      <c r="M232" s="33"/>
      <c r="N232" s="33"/>
      <c r="O232" s="9"/>
      <c r="P232" s="9"/>
      <c r="Q232" s="8"/>
      <c r="R232" s="8"/>
      <c r="S232" s="12"/>
      <c r="T232" s="32"/>
      <c r="U232" s="32"/>
      <c r="V232" s="32"/>
      <c r="W232" s="32"/>
      <c r="X232" s="8"/>
      <c r="Y232" s="32"/>
      <c r="Z232" s="8"/>
      <c r="AA232" s="8"/>
    </row>
    <row r="233" spans="1:27" s="52" customFormat="1" x14ac:dyDescent="0.25">
      <c r="A233" s="8"/>
      <c r="B233" s="9"/>
      <c r="C233" s="2"/>
      <c r="D233" s="11"/>
      <c r="E233" s="9"/>
      <c r="F233" s="10"/>
      <c r="G233" s="10"/>
      <c r="H233" s="33"/>
      <c r="I233" s="33"/>
      <c r="J233" s="33"/>
      <c r="K233" s="33"/>
      <c r="L233" s="33"/>
      <c r="M233" s="33"/>
      <c r="N233" s="33"/>
      <c r="O233" s="9"/>
      <c r="P233" s="9"/>
      <c r="Q233" s="8"/>
      <c r="R233" s="8"/>
      <c r="S233" s="12"/>
      <c r="T233" s="32"/>
      <c r="U233" s="32"/>
      <c r="V233" s="32"/>
      <c r="W233" s="32"/>
      <c r="X233" s="8"/>
      <c r="Y233" s="32"/>
      <c r="Z233" s="8"/>
      <c r="AA233" s="8"/>
    </row>
    <row r="234" spans="1:27" s="52" customFormat="1" x14ac:dyDescent="0.25">
      <c r="A234" s="8"/>
      <c r="B234" s="9"/>
      <c r="C234" s="2"/>
      <c r="D234" s="11"/>
      <c r="E234" s="9"/>
      <c r="F234" s="10"/>
      <c r="G234" s="10"/>
      <c r="H234" s="33"/>
      <c r="I234" s="33"/>
      <c r="J234" s="33"/>
      <c r="K234" s="33"/>
      <c r="L234" s="33"/>
      <c r="M234" s="33"/>
      <c r="N234" s="33"/>
      <c r="O234" s="9"/>
      <c r="P234" s="9"/>
      <c r="Q234" s="8"/>
      <c r="R234" s="8"/>
      <c r="S234" s="12"/>
      <c r="T234" s="32"/>
      <c r="U234" s="32"/>
      <c r="V234" s="32"/>
      <c r="W234" s="32"/>
      <c r="X234" s="8"/>
      <c r="Y234" s="32"/>
      <c r="Z234" s="8"/>
      <c r="AA234" s="8"/>
    </row>
    <row r="235" spans="1:27" s="52" customFormat="1" x14ac:dyDescent="0.25">
      <c r="A235" s="8"/>
      <c r="B235" s="9"/>
      <c r="C235" s="2"/>
      <c r="D235" s="11"/>
      <c r="E235" s="9"/>
      <c r="F235" s="10"/>
      <c r="G235" s="10"/>
      <c r="H235" s="33"/>
      <c r="I235" s="33"/>
      <c r="J235" s="33"/>
      <c r="K235" s="33"/>
      <c r="L235" s="33"/>
      <c r="M235" s="33"/>
      <c r="N235" s="33"/>
      <c r="O235" s="9"/>
      <c r="P235" s="9"/>
      <c r="Q235" s="8"/>
      <c r="R235" s="8"/>
      <c r="S235" s="12"/>
      <c r="T235" s="32"/>
      <c r="U235" s="32"/>
      <c r="V235" s="32"/>
      <c r="W235" s="32"/>
      <c r="X235" s="8"/>
      <c r="Y235" s="32"/>
      <c r="Z235" s="8"/>
      <c r="AA235" s="8"/>
    </row>
    <row r="236" spans="1:27" s="52" customFormat="1" x14ac:dyDescent="0.25">
      <c r="A236" s="8"/>
      <c r="B236" s="9"/>
      <c r="C236" s="2"/>
      <c r="D236" s="11"/>
      <c r="E236" s="9"/>
      <c r="F236" s="10"/>
      <c r="G236" s="10"/>
      <c r="H236" s="33"/>
      <c r="I236" s="33"/>
      <c r="J236" s="33"/>
      <c r="K236" s="33"/>
      <c r="L236" s="33"/>
      <c r="M236" s="33"/>
      <c r="N236" s="33"/>
      <c r="O236" s="9"/>
      <c r="P236" s="9"/>
      <c r="Q236" s="8"/>
      <c r="R236" s="8"/>
      <c r="S236" s="12"/>
      <c r="T236" s="32"/>
      <c r="U236" s="32"/>
      <c r="V236" s="32"/>
      <c r="W236" s="32"/>
      <c r="X236" s="8"/>
      <c r="Y236" s="32"/>
      <c r="Z236" s="8"/>
      <c r="AA236" s="8"/>
    </row>
    <row r="237" spans="1:27" s="52" customFormat="1" x14ac:dyDescent="0.25">
      <c r="A237" s="8"/>
      <c r="B237" s="9"/>
      <c r="C237" s="2"/>
      <c r="D237" s="11"/>
      <c r="E237" s="9"/>
      <c r="F237" s="10"/>
      <c r="G237" s="10"/>
      <c r="H237" s="33"/>
      <c r="I237" s="33"/>
      <c r="J237" s="33"/>
      <c r="K237" s="33"/>
      <c r="L237" s="33"/>
      <c r="M237" s="33"/>
      <c r="N237" s="33"/>
      <c r="O237" s="9"/>
      <c r="P237" s="9"/>
      <c r="Q237" s="8"/>
      <c r="R237" s="8"/>
      <c r="S237" s="12"/>
      <c r="T237" s="32"/>
      <c r="U237" s="32"/>
      <c r="V237" s="32"/>
      <c r="W237" s="32"/>
      <c r="X237" s="8"/>
      <c r="Y237" s="32"/>
      <c r="Z237" s="8"/>
      <c r="AA237" s="8"/>
    </row>
    <row r="238" spans="1:27" s="52" customFormat="1" x14ac:dyDescent="0.25">
      <c r="A238" s="8"/>
      <c r="B238" s="9"/>
      <c r="C238" s="2"/>
      <c r="D238" s="11"/>
      <c r="E238" s="9"/>
      <c r="F238" s="10"/>
      <c r="G238" s="10"/>
      <c r="H238" s="33"/>
      <c r="I238" s="33"/>
      <c r="J238" s="33"/>
      <c r="K238" s="33"/>
      <c r="L238" s="33"/>
      <c r="M238" s="33"/>
      <c r="N238" s="33"/>
      <c r="O238" s="9"/>
      <c r="P238" s="9"/>
      <c r="Q238" s="8"/>
      <c r="R238" s="8"/>
      <c r="S238" s="12"/>
      <c r="T238" s="32"/>
      <c r="U238" s="32"/>
      <c r="V238" s="32"/>
      <c r="W238" s="32"/>
      <c r="X238" s="8"/>
      <c r="Y238" s="32"/>
      <c r="Z238" s="8"/>
      <c r="AA238" s="8"/>
    </row>
    <row r="239" spans="1:27" s="52" customFormat="1" x14ac:dyDescent="0.25">
      <c r="A239" s="8"/>
      <c r="B239" s="9"/>
      <c r="C239" s="2"/>
      <c r="D239" s="11"/>
      <c r="E239" s="9"/>
      <c r="F239" s="10"/>
      <c r="G239" s="10"/>
      <c r="H239" s="33"/>
      <c r="I239" s="33"/>
      <c r="J239" s="33"/>
      <c r="K239" s="33"/>
      <c r="L239" s="33"/>
      <c r="M239" s="33"/>
      <c r="N239" s="33"/>
      <c r="O239" s="9"/>
      <c r="P239" s="9"/>
      <c r="Q239" s="8"/>
      <c r="R239" s="8"/>
      <c r="S239" s="12"/>
      <c r="T239" s="32"/>
      <c r="U239" s="32"/>
      <c r="V239" s="32"/>
      <c r="W239" s="32"/>
      <c r="X239" s="8"/>
      <c r="Y239" s="32"/>
      <c r="Z239" s="8"/>
      <c r="AA239" s="8"/>
    </row>
    <row r="240" spans="1:27" s="52" customFormat="1" x14ac:dyDescent="0.25">
      <c r="A240" s="8"/>
      <c r="B240" s="9"/>
      <c r="C240" s="2"/>
      <c r="D240" s="11"/>
      <c r="E240" s="9"/>
      <c r="F240" s="10"/>
      <c r="G240" s="10"/>
      <c r="H240" s="33"/>
      <c r="I240" s="33"/>
      <c r="J240" s="33"/>
      <c r="K240" s="33"/>
      <c r="L240" s="33"/>
      <c r="M240" s="33"/>
      <c r="N240" s="33"/>
      <c r="O240" s="9"/>
      <c r="P240" s="9"/>
      <c r="Q240" s="8"/>
      <c r="R240" s="8"/>
      <c r="S240" s="12"/>
      <c r="T240" s="32"/>
      <c r="U240" s="32"/>
      <c r="V240" s="32"/>
      <c r="W240" s="32"/>
      <c r="X240" s="8"/>
      <c r="Y240" s="32"/>
      <c r="Z240" s="8"/>
      <c r="AA240" s="8"/>
    </row>
    <row r="241" spans="1:27" s="52" customFormat="1" x14ac:dyDescent="0.25">
      <c r="A241" s="8"/>
      <c r="B241" s="9"/>
      <c r="C241" s="2"/>
      <c r="D241" s="11"/>
      <c r="E241" s="9"/>
      <c r="F241" s="10"/>
      <c r="G241" s="10"/>
      <c r="H241" s="33"/>
      <c r="I241" s="33"/>
      <c r="J241" s="33"/>
      <c r="K241" s="33"/>
      <c r="L241" s="33"/>
      <c r="M241" s="33"/>
      <c r="N241" s="33"/>
      <c r="O241" s="9"/>
      <c r="P241" s="9"/>
      <c r="Q241" s="8"/>
      <c r="R241" s="8"/>
      <c r="S241" s="12"/>
      <c r="T241" s="32"/>
      <c r="U241" s="32"/>
      <c r="V241" s="32"/>
      <c r="W241" s="32"/>
      <c r="X241" s="8"/>
      <c r="Y241" s="32"/>
      <c r="Z241" s="8"/>
      <c r="AA241" s="8"/>
    </row>
    <row r="242" spans="1:27" s="52" customFormat="1" x14ac:dyDescent="0.25">
      <c r="A242" s="8"/>
      <c r="B242" s="9"/>
      <c r="C242" s="2"/>
      <c r="D242" s="11"/>
      <c r="E242" s="9"/>
      <c r="F242" s="10"/>
      <c r="G242" s="10"/>
      <c r="H242" s="33"/>
      <c r="I242" s="33"/>
      <c r="J242" s="33"/>
      <c r="K242" s="33"/>
      <c r="L242" s="33"/>
      <c r="M242" s="33"/>
      <c r="N242" s="33"/>
      <c r="O242" s="9"/>
      <c r="P242" s="9"/>
      <c r="Q242" s="8"/>
      <c r="R242" s="8"/>
      <c r="S242" s="12"/>
      <c r="T242" s="32"/>
      <c r="U242" s="32"/>
      <c r="V242" s="32"/>
      <c r="W242" s="32"/>
      <c r="X242" s="8"/>
      <c r="Y242" s="32"/>
      <c r="Z242" s="8"/>
      <c r="AA242" s="8"/>
    </row>
    <row r="243" spans="1:27" s="52" customFormat="1" x14ac:dyDescent="0.25">
      <c r="A243" s="8"/>
      <c r="B243" s="9"/>
      <c r="C243" s="2"/>
      <c r="D243" s="11"/>
      <c r="E243" s="9"/>
      <c r="F243" s="10"/>
      <c r="G243" s="10"/>
      <c r="H243" s="33"/>
      <c r="I243" s="33"/>
      <c r="J243" s="33"/>
      <c r="K243" s="33"/>
      <c r="L243" s="33"/>
      <c r="M243" s="33"/>
      <c r="N243" s="33"/>
      <c r="O243" s="9"/>
      <c r="P243" s="9"/>
      <c r="Q243" s="8"/>
      <c r="R243" s="8"/>
      <c r="S243" s="12"/>
      <c r="T243" s="32"/>
      <c r="U243" s="32"/>
      <c r="V243" s="32"/>
      <c r="W243" s="32"/>
      <c r="X243" s="8"/>
      <c r="Y243" s="32"/>
      <c r="Z243" s="8"/>
      <c r="AA243" s="8"/>
    </row>
    <row r="244" spans="1:27" s="52" customFormat="1" x14ac:dyDescent="0.25">
      <c r="A244" s="8"/>
      <c r="B244" s="9"/>
      <c r="C244" s="2"/>
      <c r="D244" s="11"/>
      <c r="E244" s="9"/>
      <c r="F244" s="10"/>
      <c r="G244" s="10"/>
      <c r="H244" s="33"/>
      <c r="I244" s="33"/>
      <c r="J244" s="33"/>
      <c r="K244" s="33"/>
      <c r="L244" s="33"/>
      <c r="M244" s="33"/>
      <c r="N244" s="33"/>
      <c r="O244" s="9"/>
      <c r="P244" s="9"/>
      <c r="Q244" s="8"/>
      <c r="R244" s="8"/>
      <c r="S244" s="12"/>
      <c r="T244" s="32"/>
      <c r="U244" s="32"/>
      <c r="V244" s="32"/>
      <c r="W244" s="32"/>
      <c r="X244" s="8"/>
      <c r="Y244" s="32"/>
      <c r="Z244" s="8"/>
      <c r="AA244" s="8"/>
    </row>
    <row r="245" spans="1:27" s="52" customFormat="1" x14ac:dyDescent="0.25">
      <c r="A245" s="8"/>
      <c r="B245" s="9"/>
      <c r="C245" s="2"/>
      <c r="D245" s="11"/>
      <c r="E245" s="9"/>
      <c r="F245" s="10"/>
      <c r="G245" s="10"/>
      <c r="H245" s="33"/>
      <c r="I245" s="33"/>
      <c r="J245" s="33"/>
      <c r="K245" s="33"/>
      <c r="L245" s="33"/>
      <c r="M245" s="33"/>
      <c r="N245" s="33"/>
      <c r="O245" s="9"/>
      <c r="P245" s="9"/>
      <c r="Q245" s="8"/>
      <c r="R245" s="8"/>
      <c r="S245" s="12"/>
      <c r="T245" s="32"/>
      <c r="U245" s="32"/>
      <c r="V245" s="32"/>
      <c r="W245" s="32"/>
      <c r="X245" s="8"/>
      <c r="Y245" s="32"/>
      <c r="Z245" s="8"/>
      <c r="AA245" s="8"/>
    </row>
    <row r="246" spans="1:27" s="100" customFormat="1" x14ac:dyDescent="0.25">
      <c r="A246" s="8"/>
      <c r="B246" s="9"/>
      <c r="C246" s="2"/>
      <c r="D246" s="11"/>
      <c r="E246" s="9"/>
      <c r="F246" s="10"/>
      <c r="G246" s="10"/>
      <c r="H246" s="33"/>
      <c r="I246" s="33"/>
      <c r="J246" s="33"/>
      <c r="K246" s="33"/>
      <c r="L246" s="33"/>
      <c r="M246" s="33"/>
      <c r="N246" s="33"/>
      <c r="O246" s="9"/>
      <c r="P246" s="9"/>
      <c r="Q246" s="8"/>
      <c r="R246" s="8"/>
      <c r="S246" s="12"/>
      <c r="T246" s="32"/>
      <c r="U246" s="32"/>
      <c r="V246" s="32"/>
      <c r="W246" s="32"/>
      <c r="X246" s="8"/>
      <c r="Y246" s="32"/>
      <c r="Z246" s="8"/>
      <c r="AA246" s="8"/>
    </row>
    <row r="247" spans="1:27" s="52" customFormat="1" x14ac:dyDescent="0.25">
      <c r="A247" s="8"/>
      <c r="B247" s="9"/>
      <c r="C247" s="2"/>
      <c r="D247" s="11"/>
      <c r="E247" s="9"/>
      <c r="F247" s="10"/>
      <c r="G247" s="10"/>
      <c r="H247" s="33"/>
      <c r="I247" s="33"/>
      <c r="J247" s="33"/>
      <c r="K247" s="33"/>
      <c r="L247" s="33"/>
      <c r="M247" s="33"/>
      <c r="N247" s="33"/>
      <c r="O247" s="9"/>
      <c r="P247" s="9"/>
      <c r="Q247" s="8"/>
      <c r="R247" s="8"/>
      <c r="S247" s="12"/>
      <c r="T247" s="32"/>
      <c r="U247" s="32"/>
      <c r="V247" s="32"/>
      <c r="W247" s="32"/>
      <c r="X247" s="8"/>
      <c r="Y247" s="32"/>
      <c r="Z247" s="8"/>
      <c r="AA247" s="8"/>
    </row>
    <row r="248" spans="1:27" s="52" customFormat="1" x14ac:dyDescent="0.25">
      <c r="A248" s="8"/>
      <c r="B248" s="9"/>
      <c r="C248" s="2"/>
      <c r="D248" s="11"/>
      <c r="E248" s="9"/>
      <c r="F248" s="10"/>
      <c r="G248" s="10"/>
      <c r="H248" s="33"/>
      <c r="I248" s="33"/>
      <c r="J248" s="33"/>
      <c r="K248" s="33"/>
      <c r="L248" s="33"/>
      <c r="M248" s="33"/>
      <c r="N248" s="33"/>
      <c r="O248" s="9"/>
      <c r="P248" s="9"/>
      <c r="Q248" s="8"/>
      <c r="R248" s="8"/>
      <c r="S248" s="12"/>
      <c r="T248" s="32"/>
      <c r="U248" s="32"/>
      <c r="V248" s="32"/>
      <c r="W248" s="32"/>
      <c r="X248" s="8"/>
      <c r="Y248" s="32"/>
      <c r="Z248" s="8"/>
      <c r="AA248" s="8"/>
    </row>
    <row r="249" spans="1:27" s="52" customFormat="1" x14ac:dyDescent="0.25">
      <c r="A249" s="8"/>
      <c r="B249" s="9"/>
      <c r="C249" s="2"/>
      <c r="D249" s="11"/>
      <c r="E249" s="9"/>
      <c r="F249" s="10"/>
      <c r="G249" s="10"/>
      <c r="H249" s="33"/>
      <c r="I249" s="33"/>
      <c r="J249" s="33"/>
      <c r="K249" s="33"/>
      <c r="L249" s="33"/>
      <c r="M249" s="33"/>
      <c r="N249" s="33"/>
      <c r="O249" s="9"/>
      <c r="P249" s="9"/>
      <c r="Q249" s="8"/>
      <c r="R249" s="8"/>
      <c r="S249" s="12"/>
      <c r="T249" s="32"/>
      <c r="U249" s="32"/>
      <c r="V249" s="32"/>
      <c r="W249" s="32"/>
      <c r="X249" s="8"/>
      <c r="Y249" s="32"/>
      <c r="Z249" s="8"/>
      <c r="AA249" s="8"/>
    </row>
    <row r="250" spans="1:27" s="52" customFormat="1" x14ac:dyDescent="0.25">
      <c r="A250" s="8"/>
      <c r="B250" s="9"/>
      <c r="C250" s="2"/>
      <c r="D250" s="11"/>
      <c r="E250" s="9"/>
      <c r="F250" s="10"/>
      <c r="G250" s="10"/>
      <c r="H250" s="33"/>
      <c r="I250" s="33"/>
      <c r="J250" s="33"/>
      <c r="K250" s="33"/>
      <c r="L250" s="33"/>
      <c r="M250" s="33"/>
      <c r="N250" s="33"/>
      <c r="O250" s="9"/>
      <c r="P250" s="9"/>
      <c r="Q250" s="8"/>
      <c r="R250" s="8"/>
      <c r="S250" s="12"/>
      <c r="T250" s="32"/>
      <c r="U250" s="32"/>
      <c r="V250" s="32"/>
      <c r="W250" s="32"/>
      <c r="X250" s="8"/>
      <c r="Y250" s="32"/>
      <c r="Z250" s="8"/>
      <c r="AA250" s="8"/>
    </row>
    <row r="251" spans="1:27" s="52" customFormat="1" x14ac:dyDescent="0.25">
      <c r="A251" s="8"/>
      <c r="B251" s="9"/>
      <c r="C251" s="2"/>
      <c r="D251" s="11"/>
      <c r="E251" s="9"/>
      <c r="F251" s="10"/>
      <c r="G251" s="10"/>
      <c r="H251" s="33"/>
      <c r="I251" s="33"/>
      <c r="J251" s="33"/>
      <c r="K251" s="33"/>
      <c r="L251" s="33"/>
      <c r="M251" s="33"/>
      <c r="N251" s="33"/>
      <c r="O251" s="9"/>
      <c r="P251" s="9"/>
      <c r="Q251" s="8"/>
      <c r="R251" s="8"/>
      <c r="S251" s="12"/>
      <c r="T251" s="32"/>
      <c r="U251" s="32"/>
      <c r="V251" s="32"/>
      <c r="W251" s="32"/>
      <c r="X251" s="8"/>
      <c r="Y251" s="32"/>
      <c r="Z251" s="8"/>
      <c r="AA251" s="8"/>
    </row>
    <row r="252" spans="1:27" s="52" customFormat="1" x14ac:dyDescent="0.25">
      <c r="A252" s="8"/>
      <c r="B252" s="9"/>
      <c r="C252" s="2"/>
      <c r="D252" s="11"/>
      <c r="E252" s="9"/>
      <c r="F252" s="10"/>
      <c r="G252" s="10"/>
      <c r="H252" s="33"/>
      <c r="I252" s="33"/>
      <c r="J252" s="33"/>
      <c r="K252" s="33"/>
      <c r="L252" s="33"/>
      <c r="M252" s="33"/>
      <c r="N252" s="33"/>
      <c r="O252" s="9"/>
      <c r="P252" s="9"/>
      <c r="Q252" s="8"/>
      <c r="R252" s="8"/>
      <c r="S252" s="12"/>
      <c r="T252" s="32"/>
      <c r="U252" s="32"/>
      <c r="V252" s="32"/>
      <c r="W252" s="32"/>
      <c r="X252" s="8"/>
      <c r="Y252" s="32"/>
      <c r="Z252" s="8"/>
      <c r="AA252" s="8"/>
    </row>
    <row r="253" spans="1:27" s="52" customFormat="1" x14ac:dyDescent="0.25">
      <c r="A253" s="8"/>
      <c r="B253" s="9"/>
      <c r="C253" s="2"/>
      <c r="D253" s="11"/>
      <c r="E253" s="9"/>
      <c r="F253" s="10"/>
      <c r="G253" s="10"/>
      <c r="H253" s="33"/>
      <c r="I253" s="33"/>
      <c r="J253" s="33"/>
      <c r="K253" s="33"/>
      <c r="L253" s="33"/>
      <c r="M253" s="33"/>
      <c r="N253" s="33"/>
      <c r="O253" s="9"/>
      <c r="P253" s="9"/>
      <c r="Q253" s="8"/>
      <c r="R253" s="8"/>
      <c r="S253" s="12"/>
      <c r="T253" s="32"/>
      <c r="U253" s="32"/>
      <c r="V253" s="32"/>
      <c r="W253" s="32"/>
      <c r="X253" s="8"/>
      <c r="Y253" s="32"/>
      <c r="Z253" s="8"/>
      <c r="AA253" s="8"/>
    </row>
    <row r="254" spans="1:27" s="52" customFormat="1" x14ac:dyDescent="0.25">
      <c r="A254" s="8"/>
      <c r="B254" s="9"/>
      <c r="C254" s="2"/>
      <c r="D254" s="11"/>
      <c r="E254" s="9"/>
      <c r="F254" s="10"/>
      <c r="G254" s="10"/>
      <c r="H254" s="33"/>
      <c r="I254" s="33"/>
      <c r="J254" s="33"/>
      <c r="K254" s="33"/>
      <c r="L254" s="33"/>
      <c r="M254" s="33"/>
      <c r="N254" s="33"/>
      <c r="O254" s="9"/>
      <c r="P254" s="9"/>
      <c r="Q254" s="8"/>
      <c r="R254" s="8"/>
      <c r="S254" s="12"/>
      <c r="T254" s="32"/>
      <c r="U254" s="32"/>
      <c r="V254" s="32"/>
      <c r="W254" s="32"/>
      <c r="X254" s="8"/>
      <c r="Y254" s="32"/>
      <c r="Z254" s="8"/>
      <c r="AA254" s="8"/>
    </row>
    <row r="255" spans="1:27" s="52" customFormat="1" x14ac:dyDescent="0.25">
      <c r="A255" s="8"/>
      <c r="B255" s="9"/>
      <c r="C255" s="2"/>
      <c r="D255" s="11"/>
      <c r="E255" s="9"/>
      <c r="F255" s="10"/>
      <c r="G255" s="10"/>
      <c r="H255" s="33"/>
      <c r="I255" s="33"/>
      <c r="J255" s="33"/>
      <c r="K255" s="33"/>
      <c r="L255" s="33"/>
      <c r="M255" s="33"/>
      <c r="N255" s="33"/>
      <c r="O255" s="9"/>
      <c r="P255" s="9"/>
      <c r="Q255" s="8"/>
      <c r="R255" s="8"/>
      <c r="S255" s="12"/>
      <c r="T255" s="32"/>
      <c r="U255" s="32"/>
      <c r="V255" s="32"/>
      <c r="W255" s="32"/>
      <c r="X255" s="8"/>
      <c r="Y255" s="32"/>
      <c r="Z255" s="8"/>
      <c r="AA255" s="8"/>
    </row>
    <row r="256" spans="1:27" s="52" customFormat="1" x14ac:dyDescent="0.25">
      <c r="A256" s="8"/>
      <c r="B256" s="9"/>
      <c r="C256" s="2"/>
      <c r="D256" s="11"/>
      <c r="E256" s="9"/>
      <c r="F256" s="10"/>
      <c r="G256" s="10"/>
      <c r="H256" s="33"/>
      <c r="I256" s="33"/>
      <c r="J256" s="33"/>
      <c r="K256" s="33"/>
      <c r="L256" s="33"/>
      <c r="M256" s="33"/>
      <c r="N256" s="33"/>
      <c r="O256" s="9"/>
      <c r="P256" s="9"/>
      <c r="Q256" s="8"/>
      <c r="R256" s="8"/>
      <c r="S256" s="12"/>
      <c r="T256" s="32"/>
      <c r="U256" s="32"/>
      <c r="V256" s="32"/>
      <c r="W256" s="32"/>
      <c r="X256" s="8"/>
      <c r="Y256" s="32"/>
      <c r="Z256" s="8"/>
      <c r="AA256" s="8"/>
    </row>
    <row r="257" spans="1:27" s="52" customFormat="1" x14ac:dyDescent="0.25">
      <c r="A257" s="8"/>
      <c r="B257" s="9"/>
      <c r="C257" s="2"/>
      <c r="D257" s="11"/>
      <c r="E257" s="9"/>
      <c r="F257" s="10"/>
      <c r="G257" s="10"/>
      <c r="H257" s="33"/>
      <c r="I257" s="33"/>
      <c r="J257" s="33"/>
      <c r="K257" s="33"/>
      <c r="L257" s="33"/>
      <c r="M257" s="33"/>
      <c r="N257" s="33"/>
      <c r="O257" s="9"/>
      <c r="P257" s="9"/>
      <c r="Q257" s="8"/>
      <c r="R257" s="8"/>
      <c r="S257" s="12"/>
      <c r="T257" s="32"/>
      <c r="U257" s="32"/>
      <c r="V257" s="32"/>
      <c r="W257" s="32"/>
      <c r="X257" s="8"/>
      <c r="Y257" s="32"/>
      <c r="Z257" s="8"/>
      <c r="AA257" s="8"/>
    </row>
    <row r="258" spans="1:27" s="52" customFormat="1" x14ac:dyDescent="0.25">
      <c r="A258" s="8"/>
      <c r="B258" s="9"/>
      <c r="C258" s="2"/>
      <c r="D258" s="11"/>
      <c r="E258" s="9"/>
      <c r="F258" s="10"/>
      <c r="G258" s="10"/>
      <c r="H258" s="33"/>
      <c r="I258" s="33"/>
      <c r="J258" s="33"/>
      <c r="K258" s="33"/>
      <c r="L258" s="33"/>
      <c r="M258" s="33"/>
      <c r="N258" s="33"/>
      <c r="O258" s="9"/>
      <c r="P258" s="9"/>
      <c r="Q258" s="8"/>
      <c r="R258" s="8"/>
      <c r="S258" s="12"/>
      <c r="T258" s="32"/>
      <c r="U258" s="32"/>
      <c r="V258" s="32"/>
      <c r="W258" s="32"/>
      <c r="X258" s="8"/>
      <c r="Y258" s="32"/>
      <c r="Z258" s="8"/>
      <c r="AA258" s="8"/>
    </row>
    <row r="259" spans="1:27" s="52" customFormat="1" x14ac:dyDescent="0.25">
      <c r="A259" s="8"/>
      <c r="B259" s="9"/>
      <c r="C259" s="2"/>
      <c r="D259" s="11"/>
      <c r="E259" s="9"/>
      <c r="F259" s="10"/>
      <c r="G259" s="10"/>
      <c r="H259" s="33"/>
      <c r="I259" s="33"/>
      <c r="J259" s="33"/>
      <c r="K259" s="33"/>
      <c r="L259" s="33"/>
      <c r="M259" s="33"/>
      <c r="N259" s="33"/>
      <c r="O259" s="9"/>
      <c r="P259" s="9"/>
      <c r="Q259" s="8"/>
      <c r="R259" s="8"/>
      <c r="S259" s="12"/>
      <c r="T259" s="32"/>
      <c r="U259" s="32"/>
      <c r="V259" s="32"/>
      <c r="W259" s="32"/>
      <c r="X259" s="8"/>
      <c r="Y259" s="32"/>
      <c r="Z259" s="8"/>
      <c r="AA259" s="8"/>
    </row>
    <row r="260" spans="1:27" s="52" customFormat="1" x14ac:dyDescent="0.25">
      <c r="A260" s="8"/>
      <c r="B260" s="9"/>
      <c r="C260" s="2"/>
      <c r="D260" s="11"/>
      <c r="E260" s="9"/>
      <c r="F260" s="10"/>
      <c r="G260" s="10"/>
      <c r="H260" s="33"/>
      <c r="I260" s="33"/>
      <c r="J260" s="33"/>
      <c r="K260" s="33"/>
      <c r="L260" s="33"/>
      <c r="M260" s="33"/>
      <c r="N260" s="33"/>
      <c r="O260" s="9"/>
      <c r="P260" s="9"/>
      <c r="Q260" s="8"/>
      <c r="R260" s="8"/>
      <c r="S260" s="12"/>
      <c r="T260" s="32"/>
      <c r="U260" s="32"/>
      <c r="V260" s="32"/>
      <c r="W260" s="32"/>
      <c r="X260" s="8"/>
      <c r="Y260" s="32"/>
      <c r="Z260" s="8"/>
      <c r="AA260" s="8"/>
    </row>
    <row r="261" spans="1:27" s="52" customFormat="1" x14ac:dyDescent="0.25">
      <c r="A261" s="8"/>
      <c r="B261" s="9"/>
      <c r="C261" s="2"/>
      <c r="D261" s="11"/>
      <c r="E261" s="9"/>
      <c r="F261" s="10"/>
      <c r="G261" s="10"/>
      <c r="H261" s="33"/>
      <c r="I261" s="33"/>
      <c r="J261" s="33"/>
      <c r="K261" s="33"/>
      <c r="L261" s="33"/>
      <c r="M261" s="33"/>
      <c r="N261" s="33"/>
      <c r="O261" s="9"/>
      <c r="P261" s="9"/>
      <c r="Q261" s="8"/>
      <c r="R261" s="8"/>
      <c r="S261" s="12"/>
      <c r="T261" s="32"/>
      <c r="U261" s="32"/>
      <c r="V261" s="32"/>
      <c r="W261" s="32"/>
      <c r="X261" s="8"/>
      <c r="Y261" s="32"/>
      <c r="Z261" s="8"/>
      <c r="AA261" s="8"/>
    </row>
    <row r="262" spans="1:27" s="52" customFormat="1" x14ac:dyDescent="0.25">
      <c r="A262" s="8"/>
      <c r="B262" s="9"/>
      <c r="C262" s="2"/>
      <c r="D262" s="11"/>
      <c r="E262" s="9"/>
      <c r="F262" s="10"/>
      <c r="G262" s="10"/>
      <c r="H262" s="33"/>
      <c r="I262" s="33"/>
      <c r="J262" s="33"/>
      <c r="K262" s="33"/>
      <c r="L262" s="33"/>
      <c r="M262" s="33"/>
      <c r="N262" s="33"/>
      <c r="O262" s="9"/>
      <c r="P262" s="9"/>
      <c r="Q262" s="8"/>
      <c r="R262" s="8"/>
      <c r="S262" s="12"/>
      <c r="T262" s="32"/>
      <c r="U262" s="32"/>
      <c r="V262" s="32"/>
      <c r="W262" s="32"/>
      <c r="X262" s="8"/>
      <c r="Y262" s="32"/>
      <c r="Z262" s="8"/>
      <c r="AA262" s="8"/>
    </row>
    <row r="263" spans="1:27" s="52" customFormat="1" x14ac:dyDescent="0.25">
      <c r="A263" s="8"/>
      <c r="B263" s="9"/>
      <c r="C263" s="2"/>
      <c r="D263" s="11"/>
      <c r="E263" s="9"/>
      <c r="F263" s="10"/>
      <c r="G263" s="10"/>
      <c r="H263" s="33"/>
      <c r="I263" s="33"/>
      <c r="J263" s="33"/>
      <c r="K263" s="33"/>
      <c r="L263" s="33"/>
      <c r="M263" s="33"/>
      <c r="N263" s="33"/>
      <c r="O263" s="9"/>
      <c r="P263" s="9"/>
      <c r="Q263" s="8"/>
      <c r="R263" s="8"/>
      <c r="S263" s="12"/>
      <c r="T263" s="32"/>
      <c r="U263" s="32"/>
      <c r="V263" s="32"/>
      <c r="W263" s="32"/>
      <c r="X263" s="8"/>
      <c r="Y263" s="32"/>
      <c r="Z263" s="8"/>
      <c r="AA263" s="8"/>
    </row>
    <row r="264" spans="1:27" s="52" customFormat="1" x14ac:dyDescent="0.25">
      <c r="A264" s="8"/>
      <c r="B264" s="9"/>
      <c r="C264" s="2"/>
      <c r="D264" s="11"/>
      <c r="E264" s="9"/>
      <c r="F264" s="10"/>
      <c r="G264" s="10"/>
      <c r="H264" s="33"/>
      <c r="I264" s="33"/>
      <c r="J264" s="33"/>
      <c r="K264" s="33"/>
      <c r="L264" s="33"/>
      <c r="M264" s="33"/>
      <c r="N264" s="33"/>
      <c r="O264" s="9"/>
      <c r="P264" s="9"/>
      <c r="Q264" s="8"/>
      <c r="R264" s="8"/>
      <c r="S264" s="12"/>
      <c r="T264" s="32"/>
      <c r="U264" s="32"/>
      <c r="V264" s="32"/>
      <c r="W264" s="32"/>
      <c r="X264" s="8"/>
      <c r="Y264" s="32"/>
      <c r="Z264" s="8"/>
      <c r="AA264" s="8"/>
    </row>
    <row r="265" spans="1:27" s="52" customFormat="1" x14ac:dyDescent="0.25">
      <c r="A265" s="8"/>
      <c r="B265" s="9"/>
      <c r="C265" s="2"/>
      <c r="D265" s="11"/>
      <c r="E265" s="9"/>
      <c r="F265" s="10"/>
      <c r="G265" s="10"/>
      <c r="H265" s="33"/>
      <c r="I265" s="33"/>
      <c r="J265" s="33"/>
      <c r="K265" s="33"/>
      <c r="L265" s="33"/>
      <c r="M265" s="33"/>
      <c r="N265" s="33"/>
      <c r="O265" s="9"/>
      <c r="P265" s="9"/>
      <c r="Q265" s="8"/>
      <c r="R265" s="8"/>
      <c r="S265" s="12"/>
      <c r="T265" s="32"/>
      <c r="U265" s="32"/>
      <c r="V265" s="32"/>
      <c r="W265" s="32"/>
      <c r="X265" s="8"/>
      <c r="Y265" s="32"/>
      <c r="Z265" s="8"/>
      <c r="AA265" s="8"/>
    </row>
    <row r="266" spans="1:27" s="52" customFormat="1" x14ac:dyDescent="0.25">
      <c r="A266" s="8"/>
      <c r="B266" s="9"/>
      <c r="C266" s="2"/>
      <c r="D266" s="11"/>
      <c r="E266" s="9"/>
      <c r="F266" s="10"/>
      <c r="G266" s="10"/>
      <c r="H266" s="33"/>
      <c r="I266" s="33"/>
      <c r="J266" s="33"/>
      <c r="K266" s="33"/>
      <c r="L266" s="33"/>
      <c r="M266" s="33"/>
      <c r="N266" s="33"/>
      <c r="O266" s="9"/>
      <c r="P266" s="9"/>
      <c r="Q266" s="8"/>
      <c r="R266" s="8"/>
      <c r="S266" s="12"/>
      <c r="T266" s="32"/>
      <c r="U266" s="32"/>
      <c r="V266" s="32"/>
      <c r="W266" s="32"/>
      <c r="X266" s="8"/>
      <c r="Y266" s="32"/>
      <c r="Z266" s="8"/>
      <c r="AA266" s="8"/>
    </row>
    <row r="267" spans="1:27" s="52" customFormat="1" x14ac:dyDescent="0.25">
      <c r="A267" s="8"/>
      <c r="B267" s="9"/>
      <c r="C267" s="2"/>
      <c r="D267" s="11"/>
      <c r="E267" s="9"/>
      <c r="F267" s="10"/>
      <c r="G267" s="10"/>
      <c r="H267" s="33"/>
      <c r="I267" s="33"/>
      <c r="J267" s="33"/>
      <c r="K267" s="33"/>
      <c r="L267" s="33"/>
      <c r="M267" s="33"/>
      <c r="N267" s="33"/>
      <c r="O267" s="9"/>
      <c r="P267" s="9"/>
      <c r="Q267" s="8"/>
      <c r="R267" s="8"/>
      <c r="S267" s="12"/>
      <c r="T267" s="32"/>
      <c r="U267" s="32"/>
      <c r="V267" s="32"/>
      <c r="W267" s="32"/>
      <c r="X267" s="8"/>
      <c r="Y267" s="32"/>
      <c r="Z267" s="8"/>
      <c r="AA267" s="8"/>
    </row>
    <row r="268" spans="1:27" s="52" customFormat="1" x14ac:dyDescent="0.25">
      <c r="A268" s="8"/>
      <c r="B268" s="9"/>
      <c r="C268" s="2"/>
      <c r="D268" s="11"/>
      <c r="E268" s="9"/>
      <c r="F268" s="10"/>
      <c r="G268" s="10"/>
      <c r="H268" s="33"/>
      <c r="I268" s="33"/>
      <c r="J268" s="33"/>
      <c r="K268" s="33"/>
      <c r="L268" s="33"/>
      <c r="M268" s="33"/>
      <c r="N268" s="33"/>
      <c r="O268" s="9"/>
      <c r="P268" s="9"/>
      <c r="Q268" s="8"/>
      <c r="R268" s="8"/>
      <c r="S268" s="12"/>
      <c r="T268" s="32"/>
      <c r="U268" s="32"/>
      <c r="V268" s="32"/>
      <c r="W268" s="32"/>
      <c r="X268" s="8"/>
      <c r="Y268" s="32"/>
      <c r="Z268" s="8"/>
      <c r="AA268" s="8"/>
    </row>
    <row r="269" spans="1:27" s="52" customFormat="1" x14ac:dyDescent="0.25">
      <c r="A269" s="8"/>
      <c r="B269" s="9"/>
      <c r="C269" s="2"/>
      <c r="D269" s="11"/>
      <c r="E269" s="9"/>
      <c r="F269" s="10"/>
      <c r="G269" s="10"/>
      <c r="H269" s="33"/>
      <c r="I269" s="33"/>
      <c r="J269" s="33"/>
      <c r="K269" s="33"/>
      <c r="L269" s="33"/>
      <c r="M269" s="33"/>
      <c r="N269" s="33"/>
      <c r="O269" s="9"/>
      <c r="P269" s="9"/>
      <c r="Q269" s="8"/>
      <c r="R269" s="8"/>
      <c r="S269" s="12"/>
      <c r="T269" s="32"/>
      <c r="U269" s="32"/>
      <c r="V269" s="32"/>
      <c r="W269" s="32"/>
      <c r="X269" s="8"/>
      <c r="Y269" s="32"/>
      <c r="Z269" s="8"/>
      <c r="AA269" s="8"/>
    </row>
    <row r="270" spans="1:27" s="52" customFormat="1" x14ac:dyDescent="0.25">
      <c r="A270" s="8"/>
      <c r="B270" s="9"/>
      <c r="C270" s="2"/>
      <c r="D270" s="11"/>
      <c r="E270" s="9"/>
      <c r="F270" s="10"/>
      <c r="G270" s="10"/>
      <c r="H270" s="33"/>
      <c r="I270" s="33"/>
      <c r="J270" s="33"/>
      <c r="K270" s="33"/>
      <c r="L270" s="33"/>
      <c r="M270" s="33"/>
      <c r="N270" s="33"/>
      <c r="O270" s="9"/>
      <c r="P270" s="9"/>
      <c r="Q270" s="8"/>
      <c r="R270" s="8"/>
      <c r="S270" s="12"/>
      <c r="T270" s="32"/>
      <c r="U270" s="32"/>
      <c r="V270" s="32"/>
      <c r="W270" s="32"/>
      <c r="X270" s="8"/>
      <c r="Y270" s="32"/>
      <c r="Z270" s="8"/>
      <c r="AA270" s="8"/>
    </row>
    <row r="271" spans="1:27" s="52" customFormat="1" x14ac:dyDescent="0.25">
      <c r="A271" s="8"/>
      <c r="B271" s="9"/>
      <c r="C271" s="2"/>
      <c r="D271" s="11"/>
      <c r="E271" s="9"/>
      <c r="F271" s="10"/>
      <c r="G271" s="10"/>
      <c r="H271" s="33"/>
      <c r="I271" s="33"/>
      <c r="J271" s="33"/>
      <c r="K271" s="33"/>
      <c r="L271" s="33"/>
      <c r="M271" s="33"/>
      <c r="N271" s="33"/>
      <c r="O271" s="9"/>
      <c r="P271" s="9"/>
      <c r="Q271" s="8"/>
      <c r="R271" s="8"/>
      <c r="S271" s="12"/>
      <c r="T271" s="32"/>
      <c r="U271" s="32"/>
      <c r="V271" s="32"/>
      <c r="W271" s="32"/>
      <c r="X271" s="8"/>
      <c r="Y271" s="32"/>
      <c r="Z271" s="8"/>
      <c r="AA271" s="8"/>
    </row>
    <row r="272" spans="1:27" s="52" customFormat="1" x14ac:dyDescent="0.25">
      <c r="A272" s="8"/>
      <c r="B272" s="9"/>
      <c r="C272" s="2"/>
      <c r="D272" s="11"/>
      <c r="E272" s="9"/>
      <c r="F272" s="10"/>
      <c r="G272" s="10"/>
      <c r="H272" s="33"/>
      <c r="I272" s="33"/>
      <c r="J272" s="33"/>
      <c r="K272" s="33"/>
      <c r="L272" s="33"/>
      <c r="M272" s="33"/>
      <c r="N272" s="33"/>
      <c r="O272" s="9"/>
      <c r="P272" s="9"/>
      <c r="Q272" s="8"/>
      <c r="R272" s="8"/>
      <c r="S272" s="12"/>
      <c r="T272" s="32"/>
      <c r="U272" s="32"/>
      <c r="V272" s="32"/>
      <c r="W272" s="32"/>
      <c r="X272" s="8"/>
      <c r="Y272" s="32"/>
      <c r="Z272" s="8"/>
      <c r="AA272" s="8"/>
    </row>
    <row r="273" spans="1:27" s="52" customFormat="1" x14ac:dyDescent="0.25">
      <c r="A273" s="8"/>
      <c r="B273" s="9"/>
      <c r="C273" s="2"/>
      <c r="D273" s="11"/>
      <c r="E273" s="9"/>
      <c r="F273" s="10"/>
      <c r="G273" s="10"/>
      <c r="H273" s="33"/>
      <c r="I273" s="33"/>
      <c r="J273" s="33"/>
      <c r="K273" s="33"/>
      <c r="L273" s="33"/>
      <c r="M273" s="33"/>
      <c r="N273" s="33"/>
      <c r="O273" s="9"/>
      <c r="P273" s="9"/>
      <c r="Q273" s="8"/>
      <c r="R273" s="8"/>
      <c r="S273" s="12"/>
      <c r="T273" s="32"/>
      <c r="U273" s="32"/>
      <c r="V273" s="32"/>
      <c r="W273" s="32"/>
      <c r="X273" s="8"/>
      <c r="Y273" s="32"/>
      <c r="Z273" s="8"/>
      <c r="AA273" s="8"/>
    </row>
    <row r="274" spans="1:27" s="52" customFormat="1" x14ac:dyDescent="0.25">
      <c r="A274" s="8"/>
      <c r="B274" s="9"/>
      <c r="C274" s="2"/>
      <c r="D274" s="11"/>
      <c r="E274" s="9"/>
      <c r="F274" s="10"/>
      <c r="G274" s="10"/>
      <c r="H274" s="33"/>
      <c r="I274" s="33"/>
      <c r="J274" s="33"/>
      <c r="K274" s="33"/>
      <c r="L274" s="33"/>
      <c r="M274" s="33"/>
      <c r="N274" s="33"/>
      <c r="O274" s="9"/>
      <c r="P274" s="9"/>
      <c r="Q274" s="8"/>
      <c r="R274" s="8"/>
      <c r="S274" s="12"/>
      <c r="T274" s="32"/>
      <c r="U274" s="32"/>
      <c r="V274" s="32"/>
      <c r="W274" s="32"/>
      <c r="X274" s="8"/>
      <c r="Y274" s="32"/>
      <c r="Z274" s="8"/>
      <c r="AA274" s="8"/>
    </row>
    <row r="275" spans="1:27" s="52" customFormat="1" x14ac:dyDescent="0.25">
      <c r="A275" s="8"/>
      <c r="B275" s="9"/>
      <c r="C275" s="2"/>
      <c r="D275" s="11"/>
      <c r="E275" s="9"/>
      <c r="F275" s="10"/>
      <c r="G275" s="10"/>
      <c r="H275" s="33"/>
      <c r="I275" s="33"/>
      <c r="J275" s="33"/>
      <c r="K275" s="33"/>
      <c r="L275" s="33"/>
      <c r="M275" s="33"/>
      <c r="N275" s="33"/>
      <c r="O275" s="9"/>
      <c r="P275" s="9"/>
      <c r="Q275" s="8"/>
      <c r="R275" s="8"/>
      <c r="S275" s="12"/>
      <c r="T275" s="32"/>
      <c r="U275" s="32"/>
      <c r="V275" s="32"/>
      <c r="W275" s="32"/>
      <c r="X275" s="8"/>
      <c r="Y275" s="32"/>
      <c r="Z275" s="8"/>
      <c r="AA275" s="8"/>
    </row>
    <row r="276" spans="1:27" s="52" customFormat="1" x14ac:dyDescent="0.25">
      <c r="A276" s="8"/>
      <c r="B276" s="9"/>
      <c r="C276" s="2"/>
      <c r="D276" s="11"/>
      <c r="E276" s="9"/>
      <c r="F276" s="10"/>
      <c r="G276" s="10"/>
      <c r="H276" s="33"/>
      <c r="I276" s="33"/>
      <c r="J276" s="33"/>
      <c r="K276" s="33"/>
      <c r="L276" s="33"/>
      <c r="M276" s="33"/>
      <c r="N276" s="33"/>
      <c r="O276" s="9"/>
      <c r="P276" s="9"/>
      <c r="Q276" s="8"/>
      <c r="R276" s="8"/>
      <c r="S276" s="12"/>
      <c r="T276" s="32"/>
      <c r="U276" s="32"/>
      <c r="V276" s="32"/>
      <c r="W276" s="32"/>
      <c r="X276" s="8"/>
      <c r="Y276" s="32"/>
      <c r="Z276" s="8"/>
      <c r="AA276" s="8"/>
    </row>
    <row r="277" spans="1:27" s="52" customFormat="1" x14ac:dyDescent="0.25">
      <c r="A277" s="8"/>
      <c r="B277" s="9"/>
      <c r="C277" s="2"/>
      <c r="D277" s="11"/>
      <c r="E277" s="9"/>
      <c r="F277" s="10"/>
      <c r="G277" s="10"/>
      <c r="H277" s="33"/>
      <c r="I277" s="33"/>
      <c r="J277" s="33"/>
      <c r="K277" s="33"/>
      <c r="L277" s="33"/>
      <c r="M277" s="33"/>
      <c r="N277" s="33"/>
      <c r="O277" s="9"/>
      <c r="P277" s="9"/>
      <c r="Q277" s="8"/>
      <c r="R277" s="8"/>
      <c r="S277" s="12"/>
      <c r="T277" s="32"/>
      <c r="U277" s="32"/>
      <c r="V277" s="32"/>
      <c r="W277" s="32"/>
      <c r="X277" s="8"/>
      <c r="Y277" s="32"/>
      <c r="Z277" s="8"/>
      <c r="AA277" s="8"/>
    </row>
    <row r="278" spans="1:27" s="52" customFormat="1" x14ac:dyDescent="0.25">
      <c r="A278" s="8"/>
      <c r="B278" s="9"/>
      <c r="C278" s="2"/>
      <c r="D278" s="11"/>
      <c r="E278" s="9"/>
      <c r="F278" s="10"/>
      <c r="G278" s="10"/>
      <c r="H278" s="33"/>
      <c r="I278" s="33"/>
      <c r="J278" s="33"/>
      <c r="K278" s="33"/>
      <c r="L278" s="33"/>
      <c r="M278" s="33"/>
      <c r="N278" s="33"/>
      <c r="O278" s="9"/>
      <c r="P278" s="9"/>
      <c r="Q278" s="8"/>
      <c r="R278" s="8"/>
      <c r="S278" s="12"/>
      <c r="T278" s="32"/>
      <c r="U278" s="32"/>
      <c r="V278" s="32"/>
      <c r="W278" s="32"/>
      <c r="X278" s="8"/>
      <c r="Y278" s="32"/>
      <c r="Z278" s="8"/>
      <c r="AA278" s="8"/>
    </row>
    <row r="279" spans="1:27" s="52" customFormat="1" x14ac:dyDescent="0.25">
      <c r="A279" s="8"/>
      <c r="B279" s="9"/>
      <c r="C279" s="2"/>
      <c r="D279" s="11"/>
      <c r="E279" s="9"/>
      <c r="F279" s="10"/>
      <c r="G279" s="10"/>
      <c r="H279" s="33"/>
      <c r="I279" s="33"/>
      <c r="J279" s="33"/>
      <c r="K279" s="33"/>
      <c r="L279" s="33"/>
      <c r="M279" s="33"/>
      <c r="N279" s="33"/>
      <c r="O279" s="9"/>
      <c r="P279" s="9"/>
      <c r="Q279" s="8"/>
      <c r="R279" s="8"/>
      <c r="S279" s="12"/>
      <c r="T279" s="32"/>
      <c r="U279" s="32"/>
      <c r="V279" s="32"/>
      <c r="W279" s="32"/>
      <c r="X279" s="8"/>
      <c r="Y279" s="32"/>
      <c r="Z279" s="8"/>
      <c r="AA279" s="8"/>
    </row>
    <row r="280" spans="1:27" s="52" customFormat="1" x14ac:dyDescent="0.25">
      <c r="A280" s="8"/>
      <c r="B280" s="9"/>
      <c r="C280" s="2"/>
      <c r="D280" s="11"/>
      <c r="E280" s="9"/>
      <c r="F280" s="10"/>
      <c r="G280" s="10"/>
      <c r="H280" s="33"/>
      <c r="I280" s="33"/>
      <c r="J280" s="33"/>
      <c r="K280" s="33"/>
      <c r="L280" s="33"/>
      <c r="M280" s="33"/>
      <c r="N280" s="33"/>
      <c r="O280" s="9"/>
      <c r="P280" s="9"/>
      <c r="Q280" s="8"/>
      <c r="R280" s="8"/>
      <c r="S280" s="12"/>
      <c r="T280" s="32"/>
      <c r="U280" s="32"/>
      <c r="V280" s="32"/>
      <c r="W280" s="32"/>
      <c r="X280" s="8"/>
      <c r="Y280" s="32"/>
      <c r="Z280" s="8"/>
      <c r="AA280" s="8"/>
    </row>
    <row r="281" spans="1:27" s="52" customFormat="1" x14ac:dyDescent="0.25">
      <c r="A281" s="8"/>
      <c r="B281" s="9"/>
      <c r="C281" s="2"/>
      <c r="D281" s="11"/>
      <c r="E281" s="9"/>
      <c r="F281" s="10"/>
      <c r="G281" s="10"/>
      <c r="H281" s="33"/>
      <c r="I281" s="33"/>
      <c r="J281" s="33"/>
      <c r="K281" s="33"/>
      <c r="L281" s="33"/>
      <c r="M281" s="33"/>
      <c r="N281" s="33"/>
      <c r="O281" s="9"/>
      <c r="P281" s="9"/>
      <c r="Q281" s="8"/>
      <c r="R281" s="8"/>
      <c r="S281" s="12"/>
      <c r="T281" s="32"/>
      <c r="U281" s="32"/>
      <c r="V281" s="32"/>
      <c r="W281" s="32"/>
      <c r="X281" s="8"/>
      <c r="Y281" s="32"/>
      <c r="Z281" s="8"/>
      <c r="AA281" s="8"/>
    </row>
    <row r="282" spans="1:27" s="52" customFormat="1" x14ac:dyDescent="0.25">
      <c r="A282" s="8"/>
      <c r="B282" s="9"/>
      <c r="C282" s="2"/>
      <c r="D282" s="11"/>
      <c r="E282" s="9"/>
      <c r="F282" s="10"/>
      <c r="G282" s="10"/>
      <c r="H282" s="33"/>
      <c r="I282" s="33"/>
      <c r="J282" s="33"/>
      <c r="K282" s="33"/>
      <c r="L282" s="33"/>
      <c r="M282" s="33"/>
      <c r="N282" s="33"/>
      <c r="O282" s="9"/>
      <c r="P282" s="9"/>
      <c r="Q282" s="8"/>
      <c r="R282" s="8"/>
      <c r="S282" s="12"/>
      <c r="T282" s="32"/>
      <c r="U282" s="32"/>
      <c r="V282" s="32"/>
      <c r="W282" s="32"/>
      <c r="X282" s="8"/>
      <c r="Y282" s="32"/>
      <c r="Z282" s="8"/>
      <c r="AA282" s="8"/>
    </row>
    <row r="283" spans="1:27" s="52" customFormat="1" x14ac:dyDescent="0.25">
      <c r="A283" s="8"/>
      <c r="B283" s="9"/>
      <c r="C283" s="2"/>
      <c r="D283" s="11"/>
      <c r="E283" s="9"/>
      <c r="F283" s="10"/>
      <c r="G283" s="10"/>
      <c r="H283" s="33"/>
      <c r="I283" s="33"/>
      <c r="J283" s="33"/>
      <c r="K283" s="33"/>
      <c r="L283" s="33"/>
      <c r="M283" s="33"/>
      <c r="N283" s="33"/>
      <c r="O283" s="9"/>
      <c r="P283" s="9"/>
      <c r="Q283" s="8"/>
      <c r="R283" s="8"/>
      <c r="S283" s="12"/>
      <c r="T283" s="32"/>
      <c r="U283" s="32"/>
      <c r="V283" s="32"/>
      <c r="W283" s="32"/>
      <c r="X283" s="8"/>
      <c r="Y283" s="32"/>
      <c r="Z283" s="8"/>
      <c r="AA283" s="8"/>
    </row>
    <row r="284" spans="1:27" s="52" customFormat="1" x14ac:dyDescent="0.25">
      <c r="A284" s="8"/>
      <c r="B284" s="9"/>
      <c r="C284" s="2"/>
      <c r="D284" s="11"/>
      <c r="E284" s="9"/>
      <c r="F284" s="10"/>
      <c r="G284" s="10"/>
      <c r="H284" s="33"/>
      <c r="I284" s="33"/>
      <c r="J284" s="33"/>
      <c r="K284" s="33"/>
      <c r="L284" s="33"/>
      <c r="M284" s="33"/>
      <c r="N284" s="33"/>
      <c r="O284" s="9"/>
      <c r="P284" s="9"/>
      <c r="Q284" s="8"/>
      <c r="R284" s="8"/>
      <c r="S284" s="12"/>
      <c r="T284" s="32"/>
      <c r="U284" s="32"/>
      <c r="V284" s="32"/>
      <c r="W284" s="32"/>
      <c r="X284" s="8"/>
      <c r="Y284" s="32"/>
      <c r="Z284" s="8"/>
      <c r="AA284" s="8"/>
    </row>
    <row r="285" spans="1:27" s="52" customFormat="1" x14ac:dyDescent="0.25">
      <c r="A285" s="8"/>
      <c r="B285" s="9"/>
      <c r="C285" s="2"/>
      <c r="D285" s="11"/>
      <c r="E285" s="9"/>
      <c r="F285" s="10"/>
      <c r="G285" s="10"/>
      <c r="H285" s="33"/>
      <c r="I285" s="33"/>
      <c r="J285" s="33"/>
      <c r="K285" s="33"/>
      <c r="L285" s="33"/>
      <c r="M285" s="33"/>
      <c r="N285" s="33"/>
      <c r="O285" s="9"/>
      <c r="P285" s="9"/>
      <c r="Q285" s="8"/>
      <c r="R285" s="8"/>
      <c r="S285" s="12"/>
      <c r="T285" s="32"/>
      <c r="U285" s="32"/>
      <c r="V285" s="32"/>
      <c r="W285" s="32"/>
      <c r="X285" s="8"/>
      <c r="Y285" s="32"/>
      <c r="Z285" s="8"/>
      <c r="AA285" s="8"/>
    </row>
    <row r="286" spans="1:27" s="52" customFormat="1" x14ac:dyDescent="0.25">
      <c r="A286" s="8"/>
      <c r="B286" s="9"/>
      <c r="C286" s="2"/>
      <c r="D286" s="11"/>
      <c r="E286" s="9"/>
      <c r="F286" s="10"/>
      <c r="G286" s="10"/>
      <c r="H286" s="33"/>
      <c r="I286" s="33"/>
      <c r="J286" s="33"/>
      <c r="K286" s="33"/>
      <c r="L286" s="33"/>
      <c r="M286" s="33"/>
      <c r="N286" s="33"/>
      <c r="O286" s="9"/>
      <c r="P286" s="9"/>
      <c r="Q286" s="8"/>
      <c r="R286" s="8"/>
      <c r="S286" s="12"/>
      <c r="T286" s="32"/>
      <c r="U286" s="32"/>
      <c r="V286" s="32"/>
      <c r="W286" s="32"/>
      <c r="X286" s="8"/>
      <c r="Y286" s="32"/>
      <c r="Z286" s="8"/>
      <c r="AA286" s="8"/>
    </row>
    <row r="287" spans="1:27" s="52" customFormat="1" x14ac:dyDescent="0.25">
      <c r="A287" s="8"/>
      <c r="B287" s="9"/>
      <c r="C287" s="2"/>
      <c r="D287" s="11"/>
      <c r="E287" s="9"/>
      <c r="F287" s="10"/>
      <c r="G287" s="10"/>
      <c r="H287" s="33"/>
      <c r="I287" s="33"/>
      <c r="J287" s="33"/>
      <c r="K287" s="33"/>
      <c r="L287" s="33"/>
      <c r="M287" s="33"/>
      <c r="N287" s="33"/>
      <c r="O287" s="9"/>
      <c r="P287" s="9"/>
      <c r="Q287" s="8"/>
      <c r="R287" s="8"/>
      <c r="S287" s="12"/>
      <c r="T287" s="32"/>
      <c r="U287" s="32"/>
      <c r="V287" s="32"/>
      <c r="W287" s="32"/>
      <c r="X287" s="8"/>
      <c r="Y287" s="32"/>
      <c r="Z287" s="8"/>
      <c r="AA287" s="8"/>
    </row>
    <row r="288" spans="1:27" s="93" customFormat="1" ht="15.75" customHeight="1" x14ac:dyDescent="0.25">
      <c r="A288" s="8"/>
      <c r="B288" s="9"/>
      <c r="C288" s="2"/>
      <c r="D288" s="11"/>
      <c r="E288" s="9"/>
      <c r="F288" s="10"/>
      <c r="G288" s="10"/>
      <c r="H288" s="33"/>
      <c r="I288" s="33"/>
      <c r="J288" s="33"/>
      <c r="K288" s="33"/>
      <c r="L288" s="33"/>
      <c r="M288" s="33"/>
      <c r="N288" s="33"/>
      <c r="O288" s="9"/>
      <c r="P288" s="9"/>
      <c r="Q288" s="8"/>
      <c r="R288" s="8"/>
      <c r="S288" s="12"/>
      <c r="T288" s="32"/>
      <c r="U288" s="32"/>
      <c r="V288" s="32"/>
      <c r="W288" s="32"/>
      <c r="X288" s="8"/>
      <c r="Y288" s="32"/>
      <c r="Z288" s="8"/>
      <c r="AA288" s="8"/>
    </row>
    <row r="289" spans="1:27" s="93" customFormat="1" ht="14.45" customHeight="1" x14ac:dyDescent="0.25">
      <c r="A289" s="8"/>
      <c r="B289" s="9"/>
      <c r="C289" s="2"/>
      <c r="D289" s="11"/>
      <c r="E289" s="9"/>
      <c r="F289" s="10"/>
      <c r="G289" s="10"/>
      <c r="H289" s="33"/>
      <c r="I289" s="33"/>
      <c r="J289" s="33"/>
      <c r="K289" s="33"/>
      <c r="L289" s="33"/>
      <c r="M289" s="33"/>
      <c r="N289" s="33"/>
      <c r="O289" s="9"/>
      <c r="P289" s="9"/>
      <c r="Q289" s="8"/>
      <c r="R289" s="8"/>
      <c r="S289" s="12"/>
      <c r="T289" s="32"/>
      <c r="U289" s="32"/>
      <c r="V289" s="32"/>
      <c r="W289" s="32"/>
      <c r="X289" s="8"/>
      <c r="Y289" s="32"/>
      <c r="Z289" s="8"/>
      <c r="AA289" s="8"/>
    </row>
    <row r="290" spans="1:27" s="93" customFormat="1" ht="15.75" customHeight="1" x14ac:dyDescent="0.25">
      <c r="A290" s="8"/>
      <c r="B290" s="9"/>
      <c r="C290" s="2"/>
      <c r="D290" s="11"/>
      <c r="E290" s="9"/>
      <c r="F290" s="10"/>
      <c r="G290" s="10"/>
      <c r="H290" s="33"/>
      <c r="I290" s="33"/>
      <c r="J290" s="33"/>
      <c r="K290" s="33"/>
      <c r="L290" s="33"/>
      <c r="M290" s="33"/>
      <c r="N290" s="33"/>
      <c r="O290" s="9"/>
      <c r="P290" s="9"/>
      <c r="Q290" s="8"/>
      <c r="R290" s="8"/>
      <c r="S290" s="12"/>
      <c r="T290" s="32"/>
      <c r="U290" s="32"/>
      <c r="V290" s="32"/>
      <c r="W290" s="32"/>
      <c r="X290" s="8"/>
      <c r="Y290" s="32"/>
      <c r="Z290" s="8"/>
      <c r="AA290" s="8"/>
    </row>
    <row r="291" spans="1:27" s="93" customFormat="1" ht="15.75" customHeight="1" x14ac:dyDescent="0.25">
      <c r="A291" s="8"/>
      <c r="B291" s="9"/>
      <c r="C291" s="2"/>
      <c r="D291" s="11"/>
      <c r="E291" s="9"/>
      <c r="F291" s="10"/>
      <c r="G291" s="10"/>
      <c r="H291" s="33"/>
      <c r="I291" s="33"/>
      <c r="J291" s="33"/>
      <c r="K291" s="33"/>
      <c r="L291" s="33"/>
      <c r="M291" s="33"/>
      <c r="N291" s="33"/>
      <c r="O291" s="9"/>
      <c r="P291" s="9"/>
      <c r="Q291" s="8"/>
      <c r="R291" s="8"/>
      <c r="S291" s="12"/>
      <c r="T291" s="32"/>
      <c r="U291" s="32"/>
      <c r="V291" s="32"/>
      <c r="W291" s="32"/>
      <c r="X291" s="8"/>
      <c r="Y291" s="32"/>
      <c r="Z291" s="8"/>
      <c r="AA291" s="8"/>
    </row>
    <row r="292" spans="1:27" s="93" customFormat="1" ht="15.75" customHeight="1" x14ac:dyDescent="0.25">
      <c r="A292" s="8"/>
      <c r="B292" s="9"/>
      <c r="C292" s="2"/>
      <c r="D292" s="11"/>
      <c r="E292" s="9"/>
      <c r="F292" s="10"/>
      <c r="G292" s="10"/>
      <c r="H292" s="33"/>
      <c r="I292" s="33"/>
      <c r="J292" s="33"/>
      <c r="K292" s="33"/>
      <c r="L292" s="33"/>
      <c r="M292" s="33"/>
      <c r="N292" s="33"/>
      <c r="O292" s="9"/>
      <c r="P292" s="9"/>
      <c r="Q292" s="8"/>
      <c r="R292" s="8"/>
      <c r="S292" s="12"/>
      <c r="T292" s="32"/>
      <c r="U292" s="32"/>
      <c r="V292" s="32"/>
      <c r="W292" s="32"/>
      <c r="X292" s="8"/>
      <c r="Y292" s="32"/>
      <c r="Z292" s="8"/>
      <c r="AA292" s="8"/>
    </row>
    <row r="293" spans="1:27" s="93" customFormat="1" ht="15.75" customHeight="1" x14ac:dyDescent="0.25">
      <c r="A293" s="8"/>
      <c r="B293" s="9"/>
      <c r="C293" s="2"/>
      <c r="D293" s="11"/>
      <c r="E293" s="9"/>
      <c r="F293" s="10"/>
      <c r="G293" s="10"/>
      <c r="H293" s="33"/>
      <c r="I293" s="33"/>
      <c r="J293" s="33"/>
      <c r="K293" s="33"/>
      <c r="L293" s="33"/>
      <c r="M293" s="33"/>
      <c r="N293" s="33"/>
      <c r="O293" s="9"/>
      <c r="P293" s="9"/>
      <c r="Q293" s="8"/>
      <c r="R293" s="8"/>
      <c r="S293" s="12"/>
      <c r="T293" s="32"/>
      <c r="U293" s="32"/>
      <c r="V293" s="32"/>
      <c r="W293" s="32"/>
      <c r="X293" s="8"/>
      <c r="Y293" s="32"/>
      <c r="Z293" s="8"/>
      <c r="AA293" s="8"/>
    </row>
    <row r="294" spans="1:27" s="93" customFormat="1" ht="15.75" customHeight="1" x14ac:dyDescent="0.25">
      <c r="A294" s="8"/>
      <c r="B294" s="9"/>
      <c r="C294" s="2"/>
      <c r="D294" s="11"/>
      <c r="E294" s="9"/>
      <c r="F294" s="10"/>
      <c r="G294" s="10"/>
      <c r="H294" s="33"/>
      <c r="I294" s="33"/>
      <c r="J294" s="33"/>
      <c r="K294" s="33"/>
      <c r="L294" s="33"/>
      <c r="M294" s="33"/>
      <c r="N294" s="33"/>
      <c r="O294" s="9"/>
      <c r="P294" s="9"/>
      <c r="Q294" s="8"/>
      <c r="R294" s="8"/>
      <c r="S294" s="12"/>
      <c r="T294" s="32"/>
      <c r="U294" s="32"/>
      <c r="V294" s="32"/>
      <c r="W294" s="32"/>
      <c r="X294" s="8"/>
      <c r="Y294" s="32"/>
      <c r="Z294" s="8"/>
      <c r="AA294" s="8"/>
    </row>
    <row r="295" spans="1:27" s="93" customFormat="1" ht="15.75" customHeight="1" x14ac:dyDescent="0.25">
      <c r="A295" s="8"/>
      <c r="B295" s="9"/>
      <c r="C295" s="2"/>
      <c r="D295" s="11"/>
      <c r="E295" s="9"/>
      <c r="F295" s="10"/>
      <c r="G295" s="10"/>
      <c r="H295" s="33"/>
      <c r="I295" s="33"/>
      <c r="J295" s="33"/>
      <c r="K295" s="33"/>
      <c r="L295" s="33"/>
      <c r="M295" s="33"/>
      <c r="N295" s="33"/>
      <c r="O295" s="9"/>
      <c r="P295" s="9"/>
      <c r="Q295" s="8"/>
      <c r="R295" s="8"/>
      <c r="S295" s="12"/>
      <c r="T295" s="32"/>
      <c r="U295" s="32"/>
      <c r="V295" s="32"/>
      <c r="W295" s="32"/>
      <c r="X295" s="8"/>
      <c r="Y295" s="32"/>
      <c r="Z295" s="8"/>
      <c r="AA295" s="8"/>
    </row>
    <row r="296" spans="1:27" s="93" customFormat="1" ht="15.75" customHeight="1" x14ac:dyDescent="0.25">
      <c r="A296" s="8"/>
      <c r="B296" s="9"/>
      <c r="C296" s="2"/>
      <c r="D296" s="11"/>
      <c r="E296" s="9"/>
      <c r="F296" s="10"/>
      <c r="G296" s="10"/>
      <c r="H296" s="33"/>
      <c r="I296" s="33"/>
      <c r="J296" s="33"/>
      <c r="K296" s="33"/>
      <c r="L296" s="33"/>
      <c r="M296" s="33"/>
      <c r="N296" s="33"/>
      <c r="O296" s="9"/>
      <c r="P296" s="9"/>
      <c r="Q296" s="8"/>
      <c r="R296" s="8"/>
      <c r="S296" s="12"/>
      <c r="T296" s="32"/>
      <c r="U296" s="32"/>
      <c r="V296" s="32"/>
      <c r="W296" s="32"/>
      <c r="X296" s="8"/>
      <c r="Y296" s="32"/>
      <c r="Z296" s="8"/>
      <c r="AA296" s="8"/>
    </row>
    <row r="297" spans="1:27" s="93" customFormat="1" ht="15.75" customHeight="1" x14ac:dyDescent="0.25">
      <c r="A297" s="8"/>
      <c r="B297" s="9"/>
      <c r="C297" s="2"/>
      <c r="D297" s="11"/>
      <c r="E297" s="9"/>
      <c r="F297" s="10"/>
      <c r="G297" s="10"/>
      <c r="H297" s="33"/>
      <c r="I297" s="33"/>
      <c r="J297" s="33"/>
      <c r="K297" s="33"/>
      <c r="L297" s="33"/>
      <c r="M297" s="33"/>
      <c r="N297" s="33"/>
      <c r="O297" s="9"/>
      <c r="P297" s="9"/>
      <c r="Q297" s="8"/>
      <c r="R297" s="8"/>
      <c r="S297" s="12"/>
      <c r="T297" s="32"/>
      <c r="U297" s="32"/>
      <c r="V297" s="32"/>
      <c r="W297" s="32"/>
      <c r="X297" s="8"/>
      <c r="Y297" s="32"/>
      <c r="Z297" s="8"/>
      <c r="AA297" s="8"/>
    </row>
    <row r="298" spans="1:27" s="93" customFormat="1" ht="15.75" customHeight="1" x14ac:dyDescent="0.25">
      <c r="A298" s="8"/>
      <c r="B298" s="9"/>
      <c r="C298" s="2"/>
      <c r="D298" s="11"/>
      <c r="E298" s="9"/>
      <c r="F298" s="10"/>
      <c r="G298" s="10"/>
      <c r="H298" s="33"/>
      <c r="I298" s="33"/>
      <c r="J298" s="33"/>
      <c r="K298" s="33"/>
      <c r="L298" s="33"/>
      <c r="M298" s="33"/>
      <c r="N298" s="33"/>
      <c r="O298" s="9"/>
      <c r="P298" s="9"/>
      <c r="Q298" s="8"/>
      <c r="R298" s="8"/>
      <c r="S298" s="12"/>
      <c r="T298" s="32"/>
      <c r="U298" s="32"/>
      <c r="V298" s="32"/>
      <c r="W298" s="32"/>
      <c r="X298" s="8"/>
      <c r="Y298" s="32"/>
      <c r="Z298" s="8"/>
      <c r="AA298" s="8"/>
    </row>
    <row r="299" spans="1:27" s="93" customFormat="1" ht="15.75" customHeight="1" x14ac:dyDescent="0.25">
      <c r="A299" s="8"/>
      <c r="B299" s="9"/>
      <c r="C299" s="2"/>
      <c r="D299" s="11"/>
      <c r="E299" s="9"/>
      <c r="F299" s="10"/>
      <c r="G299" s="10"/>
      <c r="H299" s="33"/>
      <c r="I299" s="33"/>
      <c r="J299" s="33"/>
      <c r="K299" s="33"/>
      <c r="L299" s="33"/>
      <c r="M299" s="33"/>
      <c r="N299" s="33"/>
      <c r="O299" s="9"/>
      <c r="P299" s="9"/>
      <c r="Q299" s="8"/>
      <c r="R299" s="8"/>
      <c r="S299" s="12"/>
      <c r="T299" s="32"/>
      <c r="U299" s="32"/>
      <c r="V299" s="32"/>
      <c r="W299" s="32"/>
      <c r="X299" s="8"/>
      <c r="Y299" s="32"/>
      <c r="Z299" s="8"/>
      <c r="AA299" s="8"/>
    </row>
    <row r="300" spans="1:27" s="93" customFormat="1" ht="15.75" customHeight="1" x14ac:dyDescent="0.25">
      <c r="A300" s="8"/>
      <c r="B300" s="9"/>
      <c r="C300" s="2"/>
      <c r="D300" s="11"/>
      <c r="E300" s="9"/>
      <c r="F300" s="10"/>
      <c r="G300" s="10"/>
      <c r="H300" s="33"/>
      <c r="I300" s="33"/>
      <c r="J300" s="33"/>
      <c r="K300" s="33"/>
      <c r="L300" s="33"/>
      <c r="M300" s="33"/>
      <c r="N300" s="33"/>
      <c r="O300" s="9"/>
      <c r="P300" s="9"/>
      <c r="Q300" s="8"/>
      <c r="R300" s="8"/>
      <c r="S300" s="12"/>
      <c r="T300" s="32"/>
      <c r="U300" s="32"/>
      <c r="V300" s="32"/>
      <c r="W300" s="32"/>
      <c r="X300" s="8"/>
      <c r="Y300" s="32"/>
      <c r="Z300" s="8"/>
      <c r="AA300" s="8"/>
    </row>
    <row r="301" spans="1:27" s="93" customFormat="1" ht="15.75" customHeight="1" x14ac:dyDescent="0.25">
      <c r="A301" s="8"/>
      <c r="B301" s="9"/>
      <c r="C301" s="2"/>
      <c r="D301" s="11"/>
      <c r="E301" s="9"/>
      <c r="F301" s="10"/>
      <c r="G301" s="10"/>
      <c r="H301" s="33"/>
      <c r="I301" s="33"/>
      <c r="J301" s="33"/>
      <c r="K301" s="33"/>
      <c r="L301" s="33"/>
      <c r="M301" s="33"/>
      <c r="N301" s="33"/>
      <c r="O301" s="9"/>
      <c r="P301" s="9"/>
      <c r="Q301" s="8"/>
      <c r="R301" s="8"/>
      <c r="S301" s="12"/>
      <c r="T301" s="32"/>
      <c r="U301" s="32"/>
      <c r="V301" s="32"/>
      <c r="W301" s="32"/>
      <c r="X301" s="8"/>
      <c r="Y301" s="32"/>
      <c r="Z301" s="8"/>
      <c r="AA301" s="8"/>
    </row>
    <row r="302" spans="1:27" s="52" customFormat="1" x14ac:dyDescent="0.25">
      <c r="A302" s="8"/>
      <c r="B302" s="9"/>
      <c r="C302" s="2"/>
      <c r="D302" s="11"/>
      <c r="E302" s="9"/>
      <c r="F302" s="10"/>
      <c r="G302" s="10"/>
      <c r="H302" s="33"/>
      <c r="I302" s="33"/>
      <c r="J302" s="33"/>
      <c r="K302" s="33"/>
      <c r="L302" s="33"/>
      <c r="M302" s="33"/>
      <c r="N302" s="33"/>
      <c r="O302" s="9"/>
      <c r="P302" s="9"/>
      <c r="Q302" s="8"/>
      <c r="R302" s="8"/>
      <c r="S302" s="12"/>
      <c r="T302" s="32"/>
      <c r="U302" s="32"/>
      <c r="V302" s="32"/>
      <c r="W302" s="32"/>
      <c r="X302" s="8"/>
      <c r="Y302" s="32"/>
      <c r="Z302" s="8"/>
      <c r="AA302" s="8"/>
    </row>
    <row r="303" spans="1:27" s="52" customFormat="1" x14ac:dyDescent="0.25">
      <c r="A303" s="8"/>
      <c r="B303" s="9"/>
      <c r="C303" s="2"/>
      <c r="D303" s="11"/>
      <c r="E303" s="9"/>
      <c r="F303" s="10"/>
      <c r="G303" s="10"/>
      <c r="H303" s="33"/>
      <c r="I303" s="33"/>
      <c r="J303" s="33"/>
      <c r="K303" s="33"/>
      <c r="L303" s="33"/>
      <c r="M303" s="33"/>
      <c r="N303" s="33"/>
      <c r="O303" s="9"/>
      <c r="P303" s="9"/>
      <c r="Q303" s="8"/>
      <c r="R303" s="8"/>
      <c r="S303" s="12"/>
      <c r="T303" s="32"/>
      <c r="U303" s="32"/>
      <c r="V303" s="32"/>
      <c r="W303" s="32"/>
      <c r="X303" s="8"/>
      <c r="Y303" s="32"/>
      <c r="Z303" s="8"/>
      <c r="AA303" s="8"/>
    </row>
    <row r="304" spans="1:27" s="52" customFormat="1" x14ac:dyDescent="0.25">
      <c r="A304" s="8"/>
      <c r="B304" s="9"/>
      <c r="C304" s="2"/>
      <c r="D304" s="11"/>
      <c r="E304" s="9"/>
      <c r="F304" s="10"/>
      <c r="G304" s="10"/>
      <c r="H304" s="33"/>
      <c r="I304" s="33"/>
      <c r="J304" s="33"/>
      <c r="K304" s="33"/>
      <c r="L304" s="33"/>
      <c r="M304" s="33"/>
      <c r="N304" s="33"/>
      <c r="O304" s="9"/>
      <c r="P304" s="9"/>
      <c r="Q304" s="8"/>
      <c r="R304" s="8"/>
      <c r="S304" s="12"/>
      <c r="T304" s="32"/>
      <c r="U304" s="32"/>
      <c r="V304" s="32"/>
      <c r="W304" s="32"/>
      <c r="X304" s="8"/>
      <c r="Y304" s="32"/>
      <c r="Z304" s="8"/>
      <c r="AA304" s="8"/>
    </row>
    <row r="305" spans="1:27" s="52" customFormat="1" x14ac:dyDescent="0.25">
      <c r="A305" s="8"/>
      <c r="B305" s="9"/>
      <c r="C305" s="2"/>
      <c r="D305" s="11"/>
      <c r="E305" s="9"/>
      <c r="F305" s="10"/>
      <c r="G305" s="10"/>
      <c r="H305" s="33"/>
      <c r="I305" s="33"/>
      <c r="J305" s="33"/>
      <c r="K305" s="33"/>
      <c r="L305" s="33"/>
      <c r="M305" s="33"/>
      <c r="N305" s="33"/>
      <c r="O305" s="9"/>
      <c r="P305" s="9"/>
      <c r="Q305" s="8"/>
      <c r="R305" s="8"/>
      <c r="S305" s="12"/>
      <c r="T305" s="32"/>
      <c r="U305" s="32"/>
      <c r="V305" s="32"/>
      <c r="W305" s="32"/>
      <c r="X305" s="8"/>
      <c r="Y305" s="32"/>
      <c r="Z305" s="8"/>
      <c r="AA305" s="8"/>
    </row>
    <row r="306" spans="1:27" s="52" customFormat="1" x14ac:dyDescent="0.25">
      <c r="A306" s="8"/>
      <c r="B306" s="9"/>
      <c r="C306" s="2"/>
      <c r="D306" s="11"/>
      <c r="E306" s="9"/>
      <c r="F306" s="10"/>
      <c r="G306" s="10"/>
      <c r="H306" s="33"/>
      <c r="I306" s="33"/>
      <c r="J306" s="33"/>
      <c r="K306" s="33"/>
      <c r="L306" s="33"/>
      <c r="M306" s="33"/>
      <c r="N306" s="33"/>
      <c r="O306" s="9"/>
      <c r="P306" s="9"/>
      <c r="Q306" s="8"/>
      <c r="R306" s="8"/>
      <c r="S306" s="12"/>
      <c r="T306" s="32"/>
      <c r="U306" s="32"/>
      <c r="V306" s="32"/>
      <c r="W306" s="32"/>
      <c r="X306" s="8"/>
      <c r="Y306" s="32"/>
      <c r="Z306" s="8"/>
      <c r="AA306" s="8"/>
    </row>
    <row r="307" spans="1:27" s="52" customFormat="1" x14ac:dyDescent="0.25">
      <c r="A307" s="8"/>
      <c r="B307" s="9"/>
      <c r="C307" s="2"/>
      <c r="D307" s="11"/>
      <c r="E307" s="9"/>
      <c r="F307" s="10"/>
      <c r="G307" s="10"/>
      <c r="H307" s="33"/>
      <c r="I307" s="33"/>
      <c r="J307" s="33"/>
      <c r="K307" s="33"/>
      <c r="L307" s="33"/>
      <c r="M307" s="33"/>
      <c r="N307" s="33"/>
      <c r="O307" s="9"/>
      <c r="P307" s="9"/>
      <c r="Q307" s="8"/>
      <c r="R307" s="8"/>
      <c r="S307" s="12"/>
      <c r="T307" s="32"/>
      <c r="U307" s="32"/>
      <c r="V307" s="32"/>
      <c r="W307" s="32"/>
      <c r="X307" s="8"/>
      <c r="Y307" s="32"/>
      <c r="Z307" s="8"/>
      <c r="AA307" s="8"/>
    </row>
    <row r="308" spans="1:27" s="52" customFormat="1" x14ac:dyDescent="0.25">
      <c r="A308" s="8"/>
      <c r="B308" s="9"/>
      <c r="C308" s="2"/>
      <c r="D308" s="11"/>
      <c r="E308" s="9"/>
      <c r="F308" s="10"/>
      <c r="G308" s="10"/>
      <c r="H308" s="33"/>
      <c r="I308" s="33"/>
      <c r="J308" s="33"/>
      <c r="K308" s="33"/>
      <c r="L308" s="33"/>
      <c r="M308" s="33"/>
      <c r="N308" s="33"/>
      <c r="O308" s="9"/>
      <c r="P308" s="9"/>
      <c r="Q308" s="8"/>
      <c r="R308" s="8"/>
      <c r="S308" s="12"/>
      <c r="T308" s="32"/>
      <c r="U308" s="32"/>
      <c r="V308" s="32"/>
      <c r="W308" s="32"/>
      <c r="X308" s="8"/>
      <c r="Y308" s="32"/>
      <c r="Z308" s="8"/>
      <c r="AA308" s="8"/>
    </row>
    <row r="309" spans="1:27" s="52" customFormat="1" x14ac:dyDescent="0.25">
      <c r="A309" s="8"/>
      <c r="B309" s="9"/>
      <c r="C309" s="2"/>
      <c r="D309" s="11"/>
      <c r="E309" s="9"/>
      <c r="F309" s="10"/>
      <c r="G309" s="10"/>
      <c r="H309" s="33"/>
      <c r="I309" s="33"/>
      <c r="J309" s="33"/>
      <c r="K309" s="33"/>
      <c r="L309" s="33"/>
      <c r="M309" s="33"/>
      <c r="N309" s="33"/>
      <c r="O309" s="9"/>
      <c r="P309" s="9"/>
      <c r="Q309" s="8"/>
      <c r="R309" s="8"/>
      <c r="S309" s="12"/>
      <c r="T309" s="32"/>
      <c r="U309" s="32"/>
      <c r="V309" s="32"/>
      <c r="W309" s="32"/>
      <c r="X309" s="8"/>
      <c r="Y309" s="32"/>
      <c r="Z309" s="8"/>
      <c r="AA309" s="8"/>
    </row>
    <row r="310" spans="1:27" s="52" customFormat="1" x14ac:dyDescent="0.25">
      <c r="A310" s="8"/>
      <c r="B310" s="9"/>
      <c r="C310" s="2"/>
      <c r="D310" s="11"/>
      <c r="E310" s="9"/>
      <c r="F310" s="10"/>
      <c r="G310" s="10"/>
      <c r="H310" s="33"/>
      <c r="I310" s="33"/>
      <c r="J310" s="33"/>
      <c r="K310" s="33"/>
      <c r="L310" s="33"/>
      <c r="M310" s="33"/>
      <c r="N310" s="33"/>
      <c r="O310" s="9"/>
      <c r="P310" s="9"/>
      <c r="Q310" s="8"/>
      <c r="R310" s="8"/>
      <c r="S310" s="12"/>
      <c r="T310" s="32"/>
      <c r="U310" s="32"/>
      <c r="V310" s="32"/>
      <c r="W310" s="32"/>
      <c r="X310" s="8"/>
      <c r="Y310" s="32"/>
      <c r="Z310" s="8"/>
      <c r="AA310" s="8"/>
    </row>
    <row r="311" spans="1:27" s="52" customFormat="1" x14ac:dyDescent="0.25">
      <c r="A311" s="8"/>
      <c r="B311" s="9"/>
      <c r="C311" s="2"/>
      <c r="D311" s="11"/>
      <c r="E311" s="9"/>
      <c r="F311" s="10"/>
      <c r="G311" s="10"/>
      <c r="H311" s="33"/>
      <c r="I311" s="33"/>
      <c r="J311" s="33"/>
      <c r="K311" s="33"/>
      <c r="L311" s="33"/>
      <c r="M311" s="33"/>
      <c r="N311" s="33"/>
      <c r="O311" s="9"/>
      <c r="P311" s="9"/>
      <c r="Q311" s="8"/>
      <c r="R311" s="8"/>
      <c r="S311" s="12"/>
      <c r="T311" s="32"/>
      <c r="U311" s="32"/>
      <c r="V311" s="32"/>
      <c r="W311" s="32"/>
      <c r="X311" s="8"/>
      <c r="Y311" s="32"/>
      <c r="Z311" s="8"/>
      <c r="AA311" s="8"/>
    </row>
    <row r="312" spans="1:27" s="52" customFormat="1" x14ac:dyDescent="0.25">
      <c r="A312" s="8"/>
      <c r="B312" s="9"/>
      <c r="C312" s="2"/>
      <c r="D312" s="11"/>
      <c r="E312" s="9"/>
      <c r="F312" s="10"/>
      <c r="G312" s="10"/>
      <c r="H312" s="33"/>
      <c r="I312" s="33"/>
      <c r="J312" s="33"/>
      <c r="K312" s="33"/>
      <c r="L312" s="33"/>
      <c r="M312" s="33"/>
      <c r="N312" s="33"/>
      <c r="O312" s="9"/>
      <c r="P312" s="9"/>
      <c r="Q312" s="8"/>
      <c r="R312" s="8"/>
      <c r="S312" s="12"/>
      <c r="T312" s="32"/>
      <c r="U312" s="32"/>
      <c r="V312" s="32"/>
      <c r="W312" s="32"/>
      <c r="X312" s="8"/>
      <c r="Y312" s="32"/>
      <c r="Z312" s="8"/>
      <c r="AA312" s="8"/>
    </row>
    <row r="313" spans="1:27" s="52" customFormat="1" x14ac:dyDescent="0.25">
      <c r="A313" s="8"/>
      <c r="B313" s="9"/>
      <c r="C313" s="2"/>
      <c r="D313" s="11"/>
      <c r="E313" s="9"/>
      <c r="F313" s="10"/>
      <c r="G313" s="10"/>
      <c r="H313" s="33"/>
      <c r="I313" s="33"/>
      <c r="J313" s="33"/>
      <c r="K313" s="33"/>
      <c r="L313" s="33"/>
      <c r="M313" s="33"/>
      <c r="N313" s="33"/>
      <c r="O313" s="9"/>
      <c r="P313" s="9"/>
      <c r="Q313" s="8"/>
      <c r="R313" s="8"/>
      <c r="S313" s="12"/>
      <c r="T313" s="32"/>
      <c r="U313" s="32"/>
      <c r="V313" s="32"/>
      <c r="W313" s="32"/>
      <c r="X313" s="8"/>
      <c r="Y313" s="32"/>
      <c r="Z313" s="8"/>
      <c r="AA313" s="8"/>
    </row>
    <row r="314" spans="1:27" s="52" customFormat="1" x14ac:dyDescent="0.25">
      <c r="A314" s="8"/>
      <c r="B314" s="9"/>
      <c r="C314" s="2"/>
      <c r="D314" s="11"/>
      <c r="E314" s="9"/>
      <c r="F314" s="10"/>
      <c r="G314" s="10"/>
      <c r="H314" s="33"/>
      <c r="I314" s="33"/>
      <c r="J314" s="33"/>
      <c r="K314" s="33"/>
      <c r="L314" s="33"/>
      <c r="M314" s="33"/>
      <c r="N314" s="33"/>
      <c r="O314" s="9"/>
      <c r="P314" s="9"/>
      <c r="Q314" s="8"/>
      <c r="R314" s="8"/>
      <c r="S314" s="12"/>
      <c r="T314" s="32"/>
      <c r="U314" s="32"/>
      <c r="V314" s="32"/>
      <c r="W314" s="32"/>
      <c r="X314" s="8"/>
      <c r="Y314" s="32"/>
      <c r="Z314" s="8"/>
      <c r="AA314" s="8"/>
    </row>
    <row r="315" spans="1:27" s="52" customFormat="1" x14ac:dyDescent="0.25">
      <c r="A315" s="8"/>
      <c r="B315" s="9"/>
      <c r="C315" s="2"/>
      <c r="D315" s="11"/>
      <c r="E315" s="9"/>
      <c r="F315" s="10"/>
      <c r="G315" s="10"/>
      <c r="H315" s="33"/>
      <c r="I315" s="33"/>
      <c r="J315" s="33"/>
      <c r="K315" s="33"/>
      <c r="L315" s="33"/>
      <c r="M315" s="33"/>
      <c r="N315" s="33"/>
      <c r="O315" s="9"/>
      <c r="P315" s="9"/>
      <c r="Q315" s="8"/>
      <c r="R315" s="8"/>
      <c r="S315" s="12"/>
      <c r="T315" s="32"/>
      <c r="U315" s="32"/>
      <c r="V315" s="32"/>
      <c r="W315" s="32"/>
      <c r="X315" s="8"/>
      <c r="Y315" s="32"/>
      <c r="Z315" s="8"/>
      <c r="AA315" s="8"/>
    </row>
    <row r="316" spans="1:27" s="52" customFormat="1" x14ac:dyDescent="0.25">
      <c r="A316" s="8"/>
      <c r="B316" s="9"/>
      <c r="C316" s="2"/>
      <c r="D316" s="11"/>
      <c r="E316" s="9"/>
      <c r="F316" s="10"/>
      <c r="G316" s="10"/>
      <c r="H316" s="33"/>
      <c r="I316" s="33"/>
      <c r="J316" s="33"/>
      <c r="K316" s="33"/>
      <c r="L316" s="33"/>
      <c r="M316" s="33"/>
      <c r="N316" s="33"/>
      <c r="O316" s="9"/>
      <c r="P316" s="9"/>
      <c r="Q316" s="8"/>
      <c r="R316" s="8"/>
      <c r="S316" s="12"/>
      <c r="T316" s="32"/>
      <c r="U316" s="32"/>
      <c r="V316" s="32"/>
      <c r="W316" s="32"/>
      <c r="X316" s="8"/>
      <c r="Y316" s="32"/>
      <c r="Z316" s="8"/>
      <c r="AA316" s="8"/>
    </row>
    <row r="317" spans="1:27" s="52" customFormat="1" x14ac:dyDescent="0.25">
      <c r="A317" s="8"/>
      <c r="B317" s="9"/>
      <c r="C317" s="2"/>
      <c r="D317" s="11"/>
      <c r="E317" s="9"/>
      <c r="F317" s="10"/>
      <c r="G317" s="10"/>
      <c r="H317" s="33"/>
      <c r="I317" s="33"/>
      <c r="J317" s="33"/>
      <c r="K317" s="33"/>
      <c r="L317" s="33"/>
      <c r="M317" s="33"/>
      <c r="N317" s="33"/>
      <c r="O317" s="9"/>
      <c r="P317" s="9"/>
      <c r="Q317" s="8"/>
      <c r="R317" s="8"/>
      <c r="S317" s="12"/>
      <c r="T317" s="32"/>
      <c r="U317" s="32"/>
      <c r="V317" s="32"/>
      <c r="W317" s="32"/>
      <c r="X317" s="8"/>
      <c r="Y317" s="32"/>
      <c r="Z317" s="8"/>
      <c r="AA317" s="8"/>
    </row>
    <row r="318" spans="1:27" s="52" customFormat="1" x14ac:dyDescent="0.25">
      <c r="A318" s="8"/>
      <c r="B318" s="9"/>
      <c r="C318" s="2"/>
      <c r="D318" s="11"/>
      <c r="E318" s="9"/>
      <c r="F318" s="10"/>
      <c r="G318" s="10"/>
      <c r="H318" s="33"/>
      <c r="I318" s="33"/>
      <c r="J318" s="33"/>
      <c r="K318" s="33"/>
      <c r="L318" s="33"/>
      <c r="M318" s="33"/>
      <c r="N318" s="33"/>
      <c r="O318" s="9"/>
      <c r="P318" s="9"/>
      <c r="Q318" s="8"/>
      <c r="R318" s="8"/>
      <c r="S318" s="12"/>
      <c r="T318" s="32"/>
      <c r="U318" s="32"/>
      <c r="V318" s="32"/>
      <c r="W318" s="32"/>
      <c r="X318" s="8"/>
      <c r="Y318" s="32"/>
      <c r="Z318" s="8"/>
      <c r="AA318" s="8"/>
    </row>
    <row r="319" spans="1:27" s="52" customFormat="1" x14ac:dyDescent="0.25">
      <c r="A319" s="8"/>
      <c r="B319" s="9"/>
      <c r="C319" s="2"/>
      <c r="D319" s="11"/>
      <c r="E319" s="9"/>
      <c r="F319" s="10"/>
      <c r="G319" s="10"/>
      <c r="H319" s="33"/>
      <c r="I319" s="33"/>
      <c r="J319" s="33"/>
      <c r="K319" s="33"/>
      <c r="L319" s="33"/>
      <c r="M319" s="33"/>
      <c r="N319" s="33"/>
      <c r="O319" s="9"/>
      <c r="P319" s="9"/>
      <c r="Q319" s="8"/>
      <c r="R319" s="8"/>
      <c r="S319" s="12"/>
      <c r="T319" s="32"/>
      <c r="U319" s="32"/>
      <c r="V319" s="32"/>
      <c r="W319" s="32"/>
      <c r="X319" s="8"/>
      <c r="Y319" s="32"/>
      <c r="Z319" s="8"/>
      <c r="AA319" s="8"/>
    </row>
    <row r="320" spans="1:27" s="52" customFormat="1" x14ac:dyDescent="0.25">
      <c r="A320" s="8"/>
      <c r="B320" s="9"/>
      <c r="C320" s="2"/>
      <c r="D320" s="11"/>
      <c r="E320" s="9"/>
      <c r="F320" s="10"/>
      <c r="G320" s="10"/>
      <c r="H320" s="33"/>
      <c r="I320" s="33"/>
      <c r="J320" s="33"/>
      <c r="K320" s="33"/>
      <c r="L320" s="33"/>
      <c r="M320" s="33"/>
      <c r="N320" s="33"/>
      <c r="O320" s="9"/>
      <c r="P320" s="9"/>
      <c r="Q320" s="8"/>
      <c r="R320" s="8"/>
      <c r="S320" s="12"/>
      <c r="T320" s="32"/>
      <c r="U320" s="32"/>
      <c r="V320" s="32"/>
      <c r="W320" s="32"/>
      <c r="X320" s="8"/>
      <c r="Y320" s="32"/>
      <c r="Z320" s="8"/>
      <c r="AA320" s="8"/>
    </row>
    <row r="321" spans="1:27" s="52" customFormat="1" x14ac:dyDescent="0.25">
      <c r="A321" s="8"/>
      <c r="B321" s="9"/>
      <c r="C321" s="2"/>
      <c r="D321" s="11"/>
      <c r="E321" s="9"/>
      <c r="F321" s="10"/>
      <c r="G321" s="10"/>
      <c r="H321" s="33"/>
      <c r="I321" s="33"/>
      <c r="J321" s="33"/>
      <c r="K321" s="33"/>
      <c r="L321" s="33"/>
      <c r="M321" s="33"/>
      <c r="N321" s="33"/>
      <c r="O321" s="9"/>
      <c r="P321" s="9"/>
      <c r="Q321" s="8"/>
      <c r="R321" s="8"/>
      <c r="S321" s="12"/>
      <c r="T321" s="32"/>
      <c r="U321" s="32"/>
      <c r="V321" s="32"/>
      <c r="W321" s="32"/>
      <c r="X321" s="8"/>
      <c r="Y321" s="32"/>
      <c r="Z321" s="8"/>
      <c r="AA321" s="8"/>
    </row>
    <row r="322" spans="1:27" s="52" customFormat="1" x14ac:dyDescent="0.25">
      <c r="A322" s="8"/>
      <c r="B322" s="9"/>
      <c r="C322" s="2"/>
      <c r="D322" s="11"/>
      <c r="E322" s="9"/>
      <c r="F322" s="10"/>
      <c r="G322" s="10"/>
      <c r="H322" s="33"/>
      <c r="I322" s="33"/>
      <c r="J322" s="33"/>
      <c r="K322" s="33"/>
      <c r="L322" s="33"/>
      <c r="M322" s="33"/>
      <c r="N322" s="33"/>
      <c r="O322" s="9"/>
      <c r="P322" s="9"/>
      <c r="Q322" s="8"/>
      <c r="R322" s="8"/>
      <c r="S322" s="12"/>
      <c r="T322" s="32"/>
      <c r="U322" s="32"/>
      <c r="V322" s="32"/>
      <c r="W322" s="32"/>
      <c r="X322" s="8"/>
      <c r="Y322" s="32"/>
      <c r="Z322" s="8"/>
      <c r="AA322" s="8"/>
    </row>
    <row r="323" spans="1:27" s="52" customFormat="1" x14ac:dyDescent="0.25">
      <c r="A323" s="8"/>
      <c r="B323" s="9"/>
      <c r="C323" s="2"/>
      <c r="D323" s="11"/>
      <c r="E323" s="9"/>
      <c r="F323" s="10"/>
      <c r="G323" s="10"/>
      <c r="H323" s="33"/>
      <c r="I323" s="33"/>
      <c r="J323" s="33"/>
      <c r="K323" s="33"/>
      <c r="L323" s="33"/>
      <c r="M323" s="33"/>
      <c r="N323" s="33"/>
      <c r="O323" s="9"/>
      <c r="P323" s="9"/>
      <c r="Q323" s="8"/>
      <c r="R323" s="8"/>
      <c r="S323" s="12"/>
      <c r="T323" s="32"/>
      <c r="U323" s="32"/>
      <c r="V323" s="32"/>
      <c r="W323" s="32"/>
      <c r="X323" s="8"/>
      <c r="Y323" s="32"/>
      <c r="Z323" s="8"/>
      <c r="AA323" s="8"/>
    </row>
    <row r="324" spans="1:27" s="52" customFormat="1" x14ac:dyDescent="0.25">
      <c r="A324" s="8"/>
      <c r="B324" s="9"/>
      <c r="C324" s="2"/>
      <c r="D324" s="11"/>
      <c r="E324" s="9"/>
      <c r="F324" s="10"/>
      <c r="G324" s="10"/>
      <c r="H324" s="33"/>
      <c r="I324" s="33"/>
      <c r="J324" s="33"/>
      <c r="K324" s="33"/>
      <c r="L324" s="33"/>
      <c r="M324" s="33"/>
      <c r="N324" s="33"/>
      <c r="O324" s="9"/>
      <c r="P324" s="9"/>
      <c r="Q324" s="8"/>
      <c r="R324" s="8"/>
      <c r="S324" s="12"/>
      <c r="T324" s="32"/>
      <c r="U324" s="32"/>
      <c r="V324" s="32"/>
      <c r="W324" s="32"/>
      <c r="X324" s="8"/>
      <c r="Y324" s="32"/>
      <c r="Z324" s="8"/>
      <c r="AA324" s="8"/>
    </row>
    <row r="325" spans="1:27" s="52" customFormat="1" x14ac:dyDescent="0.25">
      <c r="A325" s="8"/>
      <c r="B325" s="9"/>
      <c r="C325" s="2"/>
      <c r="D325" s="11"/>
      <c r="E325" s="9"/>
      <c r="F325" s="10"/>
      <c r="G325" s="10"/>
      <c r="H325" s="33"/>
      <c r="I325" s="33"/>
      <c r="J325" s="33"/>
      <c r="K325" s="33"/>
      <c r="L325" s="33"/>
      <c r="M325" s="33"/>
      <c r="N325" s="33"/>
      <c r="O325" s="9"/>
      <c r="P325" s="9"/>
      <c r="Q325" s="8"/>
      <c r="R325" s="8"/>
      <c r="S325" s="12"/>
      <c r="T325" s="32"/>
      <c r="U325" s="32"/>
      <c r="V325" s="32"/>
      <c r="W325" s="32"/>
      <c r="X325" s="8"/>
      <c r="Y325" s="32"/>
      <c r="Z325" s="8"/>
      <c r="AA325" s="8"/>
    </row>
    <row r="326" spans="1:27" s="52" customFormat="1" x14ac:dyDescent="0.25">
      <c r="A326" s="8"/>
      <c r="B326" s="9"/>
      <c r="C326" s="2"/>
      <c r="D326" s="11"/>
      <c r="E326" s="9"/>
      <c r="F326" s="10"/>
      <c r="G326" s="10"/>
      <c r="H326" s="33"/>
      <c r="I326" s="33"/>
      <c r="J326" s="33"/>
      <c r="K326" s="33"/>
      <c r="L326" s="33"/>
      <c r="M326" s="33"/>
      <c r="N326" s="33"/>
      <c r="O326" s="9"/>
      <c r="P326" s="9"/>
      <c r="Q326" s="8"/>
      <c r="R326" s="8"/>
      <c r="S326" s="12"/>
      <c r="T326" s="32"/>
      <c r="U326" s="32"/>
      <c r="V326" s="32"/>
      <c r="W326" s="32"/>
      <c r="X326" s="8"/>
      <c r="Y326" s="32"/>
      <c r="Z326" s="8"/>
      <c r="AA326" s="8"/>
    </row>
    <row r="327" spans="1:27" s="52" customFormat="1" x14ac:dyDescent="0.25">
      <c r="A327" s="8"/>
      <c r="B327" s="9"/>
      <c r="C327" s="2"/>
      <c r="D327" s="11"/>
      <c r="E327" s="9"/>
      <c r="F327" s="10"/>
      <c r="G327" s="10"/>
      <c r="H327" s="33"/>
      <c r="I327" s="33"/>
      <c r="J327" s="33"/>
      <c r="K327" s="33"/>
      <c r="L327" s="33"/>
      <c r="M327" s="33"/>
      <c r="N327" s="33"/>
      <c r="O327" s="9"/>
      <c r="P327" s="9"/>
      <c r="Q327" s="8"/>
      <c r="R327" s="8"/>
      <c r="S327" s="12"/>
      <c r="T327" s="32"/>
      <c r="U327" s="32"/>
      <c r="V327" s="32"/>
      <c r="W327" s="32"/>
      <c r="X327" s="8"/>
      <c r="Y327" s="32"/>
      <c r="Z327" s="8"/>
      <c r="AA327" s="8"/>
    </row>
    <row r="328" spans="1:27" s="52" customFormat="1" x14ac:dyDescent="0.25">
      <c r="A328" s="8"/>
      <c r="B328" s="9"/>
      <c r="C328" s="2"/>
      <c r="D328" s="11"/>
      <c r="E328" s="9"/>
      <c r="F328" s="10"/>
      <c r="G328" s="10"/>
      <c r="H328" s="33"/>
      <c r="I328" s="33"/>
      <c r="J328" s="33"/>
      <c r="K328" s="33"/>
      <c r="L328" s="33"/>
      <c r="M328" s="33"/>
      <c r="N328" s="33"/>
      <c r="O328" s="9"/>
      <c r="P328" s="9"/>
      <c r="Q328" s="8"/>
      <c r="R328" s="8"/>
      <c r="S328" s="12"/>
      <c r="T328" s="32"/>
      <c r="U328" s="32"/>
      <c r="V328" s="32"/>
      <c r="W328" s="32"/>
      <c r="X328" s="8"/>
      <c r="Y328" s="32"/>
      <c r="Z328" s="8"/>
      <c r="AA328" s="8"/>
    </row>
    <row r="329" spans="1:27" s="52" customFormat="1" x14ac:dyDescent="0.25">
      <c r="A329" s="8"/>
      <c r="B329" s="9"/>
      <c r="C329" s="2"/>
      <c r="D329" s="11"/>
      <c r="E329" s="9"/>
      <c r="F329" s="10"/>
      <c r="G329" s="10"/>
      <c r="H329" s="33"/>
      <c r="I329" s="33"/>
      <c r="J329" s="33"/>
      <c r="K329" s="33"/>
      <c r="L329" s="33"/>
      <c r="M329" s="33"/>
      <c r="N329" s="33"/>
      <c r="O329" s="9"/>
      <c r="P329" s="9"/>
      <c r="Q329" s="8"/>
      <c r="R329" s="8"/>
      <c r="S329" s="12"/>
      <c r="T329" s="32"/>
      <c r="U329" s="32"/>
      <c r="V329" s="32"/>
      <c r="W329" s="32"/>
      <c r="X329" s="8"/>
      <c r="Y329" s="32"/>
      <c r="Z329" s="8"/>
      <c r="AA329" s="8"/>
    </row>
    <row r="330" spans="1:27" s="52" customFormat="1" x14ac:dyDescent="0.25">
      <c r="A330" s="8"/>
      <c r="B330" s="9"/>
      <c r="C330" s="2"/>
      <c r="D330" s="11"/>
      <c r="E330" s="9"/>
      <c r="F330" s="10"/>
      <c r="G330" s="10"/>
      <c r="H330" s="33"/>
      <c r="I330" s="33"/>
      <c r="J330" s="33"/>
      <c r="K330" s="33"/>
      <c r="L330" s="33"/>
      <c r="M330" s="33"/>
      <c r="N330" s="33"/>
      <c r="O330" s="9"/>
      <c r="P330" s="9"/>
      <c r="Q330" s="8"/>
      <c r="R330" s="8"/>
      <c r="S330" s="12"/>
      <c r="T330" s="32"/>
      <c r="U330" s="32"/>
      <c r="V330" s="32"/>
      <c r="W330" s="32"/>
      <c r="X330" s="8"/>
      <c r="Y330" s="32"/>
      <c r="Z330" s="8"/>
      <c r="AA330" s="8"/>
    </row>
    <row r="331" spans="1:27" s="52" customFormat="1" x14ac:dyDescent="0.25">
      <c r="A331" s="8"/>
      <c r="B331" s="9"/>
      <c r="C331" s="2"/>
      <c r="D331" s="11"/>
      <c r="E331" s="9"/>
      <c r="F331" s="10"/>
      <c r="G331" s="10"/>
      <c r="H331" s="33"/>
      <c r="I331" s="33"/>
      <c r="J331" s="33"/>
      <c r="K331" s="33"/>
      <c r="L331" s="33"/>
      <c r="M331" s="33"/>
      <c r="N331" s="33"/>
      <c r="O331" s="9"/>
      <c r="P331" s="9"/>
      <c r="Q331" s="8"/>
      <c r="R331" s="8"/>
      <c r="S331" s="12"/>
      <c r="T331" s="32"/>
      <c r="U331" s="32"/>
      <c r="V331" s="32"/>
      <c r="W331" s="32"/>
      <c r="X331" s="8"/>
      <c r="Y331" s="32"/>
      <c r="Z331" s="8"/>
      <c r="AA331" s="8"/>
    </row>
    <row r="332" spans="1:27" s="52" customFormat="1" x14ac:dyDescent="0.25">
      <c r="A332" s="8"/>
      <c r="B332" s="9"/>
      <c r="C332" s="2"/>
      <c r="D332" s="11"/>
      <c r="E332" s="9"/>
      <c r="F332" s="10"/>
      <c r="G332" s="10"/>
      <c r="H332" s="33"/>
      <c r="I332" s="33"/>
      <c r="J332" s="33"/>
      <c r="K332" s="33"/>
      <c r="L332" s="33"/>
      <c r="M332" s="33"/>
      <c r="N332" s="33"/>
      <c r="O332" s="9"/>
      <c r="P332" s="9"/>
      <c r="Q332" s="8"/>
      <c r="R332" s="8"/>
      <c r="S332" s="12"/>
      <c r="T332" s="32"/>
      <c r="U332" s="32"/>
      <c r="V332" s="32"/>
      <c r="W332" s="32"/>
      <c r="X332" s="8"/>
      <c r="Y332" s="32"/>
      <c r="Z332" s="8"/>
      <c r="AA332" s="8"/>
    </row>
    <row r="333" spans="1:27" s="52" customFormat="1" x14ac:dyDescent="0.25">
      <c r="A333" s="8"/>
      <c r="B333" s="9"/>
      <c r="C333" s="2"/>
      <c r="D333" s="11"/>
      <c r="E333" s="9"/>
      <c r="F333" s="10"/>
      <c r="G333" s="10"/>
      <c r="H333" s="33"/>
      <c r="I333" s="33"/>
      <c r="J333" s="33"/>
      <c r="K333" s="33"/>
      <c r="L333" s="33"/>
      <c r="M333" s="33"/>
      <c r="N333" s="33"/>
      <c r="O333" s="9"/>
      <c r="P333" s="9"/>
      <c r="Q333" s="8"/>
      <c r="R333" s="8"/>
      <c r="S333" s="12"/>
      <c r="T333" s="32"/>
      <c r="U333" s="32"/>
      <c r="V333" s="32"/>
      <c r="W333" s="32"/>
      <c r="X333" s="8"/>
      <c r="Y333" s="32"/>
      <c r="Z333" s="8"/>
      <c r="AA333" s="8"/>
    </row>
    <row r="334" spans="1:27" s="52" customFormat="1" x14ac:dyDescent="0.25">
      <c r="A334" s="8"/>
      <c r="B334" s="9"/>
      <c r="C334" s="2"/>
      <c r="D334" s="11"/>
      <c r="E334" s="9"/>
      <c r="F334" s="10"/>
      <c r="G334" s="10"/>
      <c r="H334" s="33"/>
      <c r="I334" s="33"/>
      <c r="J334" s="33"/>
      <c r="K334" s="33"/>
      <c r="L334" s="33"/>
      <c r="M334" s="33"/>
      <c r="N334" s="33"/>
      <c r="O334" s="9"/>
      <c r="P334" s="9"/>
      <c r="Q334" s="8"/>
      <c r="R334" s="8"/>
      <c r="S334" s="12"/>
      <c r="T334" s="32"/>
      <c r="U334" s="32"/>
      <c r="V334" s="32"/>
      <c r="W334" s="32"/>
      <c r="X334" s="8"/>
      <c r="Y334" s="32"/>
      <c r="Z334" s="8"/>
      <c r="AA334" s="8"/>
    </row>
    <row r="335" spans="1:27" s="52" customFormat="1" x14ac:dyDescent="0.25">
      <c r="A335" s="8"/>
      <c r="B335" s="9"/>
      <c r="C335" s="2"/>
      <c r="D335" s="11"/>
      <c r="E335" s="9"/>
      <c r="F335" s="10"/>
      <c r="G335" s="10"/>
      <c r="H335" s="33"/>
      <c r="I335" s="33"/>
      <c r="J335" s="33"/>
      <c r="K335" s="33"/>
      <c r="L335" s="33"/>
      <c r="M335" s="33"/>
      <c r="N335" s="33"/>
      <c r="O335" s="9"/>
      <c r="P335" s="9"/>
      <c r="Q335" s="8"/>
      <c r="R335" s="8"/>
      <c r="S335" s="12"/>
      <c r="T335" s="32"/>
      <c r="U335" s="32"/>
      <c r="V335" s="32"/>
      <c r="W335" s="32"/>
      <c r="X335" s="8"/>
      <c r="Y335" s="32"/>
      <c r="Z335" s="8"/>
      <c r="AA335" s="8"/>
    </row>
    <row r="336" spans="1:27" s="52" customFormat="1" x14ac:dyDescent="0.25">
      <c r="A336" s="8"/>
      <c r="B336" s="9"/>
      <c r="C336" s="2"/>
      <c r="D336" s="11"/>
      <c r="E336" s="9"/>
      <c r="F336" s="10"/>
      <c r="G336" s="10"/>
      <c r="H336" s="33"/>
      <c r="I336" s="33"/>
      <c r="J336" s="33"/>
      <c r="K336" s="33"/>
      <c r="L336" s="33"/>
      <c r="M336" s="33"/>
      <c r="N336" s="33"/>
      <c r="O336" s="9"/>
      <c r="P336" s="9"/>
      <c r="Q336" s="8"/>
      <c r="R336" s="8"/>
      <c r="S336" s="12"/>
      <c r="T336" s="32"/>
      <c r="U336" s="32"/>
      <c r="V336" s="32"/>
      <c r="W336" s="32"/>
      <c r="X336" s="8"/>
      <c r="Y336" s="32"/>
      <c r="Z336" s="8"/>
      <c r="AA336" s="8"/>
    </row>
    <row r="337" spans="1:27" s="52" customFormat="1" x14ac:dyDescent="0.25">
      <c r="A337" s="8"/>
      <c r="B337" s="9"/>
      <c r="C337" s="2"/>
      <c r="D337" s="11"/>
      <c r="E337" s="9"/>
      <c r="F337" s="10"/>
      <c r="G337" s="10"/>
      <c r="H337" s="33"/>
      <c r="I337" s="33"/>
      <c r="J337" s="33"/>
      <c r="K337" s="33"/>
      <c r="L337" s="33"/>
      <c r="M337" s="33"/>
      <c r="N337" s="33"/>
      <c r="O337" s="9"/>
      <c r="P337" s="9"/>
      <c r="Q337" s="8"/>
      <c r="R337" s="8"/>
      <c r="S337" s="12"/>
      <c r="T337" s="32"/>
      <c r="U337" s="32"/>
      <c r="V337" s="32"/>
      <c r="W337" s="32"/>
      <c r="X337" s="8"/>
      <c r="Y337" s="32"/>
      <c r="Z337" s="8"/>
      <c r="AA337" s="8"/>
    </row>
    <row r="338" spans="1:27" s="52" customFormat="1" x14ac:dyDescent="0.25">
      <c r="A338" s="8"/>
      <c r="B338" s="9"/>
      <c r="C338" s="2"/>
      <c r="D338" s="11"/>
      <c r="E338" s="9"/>
      <c r="F338" s="10"/>
      <c r="G338" s="10"/>
      <c r="H338" s="33"/>
      <c r="I338" s="33"/>
      <c r="J338" s="33"/>
      <c r="K338" s="33"/>
      <c r="L338" s="33"/>
      <c r="M338" s="33"/>
      <c r="N338" s="33"/>
      <c r="O338" s="9"/>
      <c r="P338" s="9"/>
      <c r="Q338" s="8"/>
      <c r="R338" s="8"/>
      <c r="S338" s="12"/>
      <c r="T338" s="32"/>
      <c r="U338" s="32"/>
      <c r="V338" s="32"/>
      <c r="W338" s="32"/>
      <c r="X338" s="8"/>
      <c r="Y338" s="32"/>
      <c r="Z338" s="8"/>
      <c r="AA338" s="8"/>
    </row>
    <row r="339" spans="1:27" s="52" customFormat="1" x14ac:dyDescent="0.25">
      <c r="A339" s="8"/>
      <c r="B339" s="9"/>
      <c r="C339" s="2"/>
      <c r="D339" s="11"/>
      <c r="E339" s="9"/>
      <c r="F339" s="10"/>
      <c r="G339" s="10"/>
      <c r="H339" s="33"/>
      <c r="I339" s="33"/>
      <c r="J339" s="33"/>
      <c r="K339" s="33"/>
      <c r="L339" s="33"/>
      <c r="M339" s="33"/>
      <c r="N339" s="33"/>
      <c r="O339" s="9"/>
      <c r="P339" s="9"/>
      <c r="Q339" s="8"/>
      <c r="R339" s="8"/>
      <c r="S339" s="12"/>
      <c r="T339" s="32"/>
      <c r="U339" s="32"/>
      <c r="V339" s="32"/>
      <c r="W339" s="32"/>
      <c r="X339" s="8"/>
      <c r="Y339" s="32"/>
      <c r="Z339" s="8"/>
      <c r="AA339" s="8"/>
    </row>
    <row r="340" spans="1:27" s="52" customFormat="1" x14ac:dyDescent="0.25">
      <c r="A340" s="8"/>
      <c r="B340" s="9"/>
      <c r="C340" s="2"/>
      <c r="D340" s="11"/>
      <c r="E340" s="9"/>
      <c r="F340" s="10"/>
      <c r="G340" s="10"/>
      <c r="H340" s="33"/>
      <c r="I340" s="33"/>
      <c r="J340" s="33"/>
      <c r="K340" s="33"/>
      <c r="L340" s="33"/>
      <c r="M340" s="33"/>
      <c r="N340" s="33"/>
      <c r="O340" s="9"/>
      <c r="P340" s="9"/>
      <c r="Q340" s="8"/>
      <c r="R340" s="8"/>
      <c r="S340" s="12"/>
      <c r="T340" s="32"/>
      <c r="U340" s="32"/>
      <c r="V340" s="32"/>
      <c r="W340" s="32"/>
      <c r="X340" s="8"/>
      <c r="Y340" s="32"/>
      <c r="Z340" s="8"/>
      <c r="AA340" s="8"/>
    </row>
    <row r="341" spans="1:27" s="52" customFormat="1" x14ac:dyDescent="0.25">
      <c r="A341" s="8"/>
      <c r="B341" s="9"/>
      <c r="C341" s="2"/>
      <c r="D341" s="11"/>
      <c r="E341" s="9"/>
      <c r="F341" s="10"/>
      <c r="G341" s="10"/>
      <c r="H341" s="33"/>
      <c r="I341" s="33"/>
      <c r="J341" s="33"/>
      <c r="K341" s="33"/>
      <c r="L341" s="33"/>
      <c r="M341" s="33"/>
      <c r="N341" s="33"/>
      <c r="O341" s="9"/>
      <c r="P341" s="9"/>
      <c r="Q341" s="8"/>
      <c r="R341" s="8"/>
      <c r="S341" s="12"/>
      <c r="T341" s="32"/>
      <c r="U341" s="32"/>
      <c r="V341" s="32"/>
      <c r="W341" s="32"/>
      <c r="X341" s="8"/>
      <c r="Y341" s="32"/>
      <c r="Z341" s="8"/>
      <c r="AA341" s="8"/>
    </row>
    <row r="342" spans="1:27" s="52" customFormat="1" x14ac:dyDescent="0.25">
      <c r="A342" s="8"/>
      <c r="B342" s="9"/>
      <c r="C342" s="2"/>
      <c r="D342" s="11"/>
      <c r="E342" s="9"/>
      <c r="F342" s="10"/>
      <c r="G342" s="10"/>
      <c r="H342" s="33"/>
      <c r="I342" s="33"/>
      <c r="J342" s="33"/>
      <c r="K342" s="33"/>
      <c r="L342" s="33"/>
      <c r="M342" s="33"/>
      <c r="N342" s="33"/>
      <c r="O342" s="9"/>
      <c r="P342" s="9"/>
      <c r="Q342" s="8"/>
      <c r="R342" s="8"/>
      <c r="S342" s="12"/>
      <c r="T342" s="32"/>
      <c r="U342" s="32"/>
      <c r="V342" s="32"/>
      <c r="W342" s="32"/>
      <c r="X342" s="8"/>
      <c r="Y342" s="32"/>
      <c r="Z342" s="8"/>
      <c r="AA342" s="8"/>
    </row>
    <row r="343" spans="1:27" s="52" customFormat="1" x14ac:dyDescent="0.25">
      <c r="A343" s="8"/>
      <c r="B343" s="9"/>
      <c r="C343" s="2"/>
      <c r="D343" s="11"/>
      <c r="E343" s="9"/>
      <c r="F343" s="10"/>
      <c r="G343" s="10"/>
      <c r="H343" s="33"/>
      <c r="I343" s="33"/>
      <c r="J343" s="33"/>
      <c r="K343" s="33"/>
      <c r="L343" s="33"/>
      <c r="M343" s="33"/>
      <c r="N343" s="33"/>
      <c r="O343" s="9"/>
      <c r="P343" s="9"/>
      <c r="Q343" s="8"/>
      <c r="R343" s="8"/>
      <c r="S343" s="12"/>
      <c r="T343" s="32"/>
      <c r="U343" s="32"/>
      <c r="V343" s="32"/>
      <c r="W343" s="32"/>
      <c r="X343" s="8"/>
      <c r="Y343" s="32"/>
      <c r="Z343" s="8"/>
      <c r="AA343" s="8"/>
    </row>
    <row r="344" spans="1:27" s="52" customFormat="1" x14ac:dyDescent="0.25">
      <c r="A344" s="8"/>
      <c r="B344" s="9"/>
      <c r="C344" s="2"/>
      <c r="D344" s="11"/>
      <c r="E344" s="9"/>
      <c r="F344" s="10"/>
      <c r="G344" s="10"/>
      <c r="H344" s="33"/>
      <c r="I344" s="33"/>
      <c r="J344" s="33"/>
      <c r="K344" s="33"/>
      <c r="L344" s="33"/>
      <c r="M344" s="33"/>
      <c r="N344" s="33"/>
      <c r="O344" s="9"/>
      <c r="P344" s="9"/>
      <c r="Q344" s="8"/>
      <c r="R344" s="8"/>
      <c r="S344" s="12"/>
      <c r="T344" s="32"/>
      <c r="U344" s="32"/>
      <c r="V344" s="32"/>
      <c r="W344" s="32"/>
      <c r="X344" s="8"/>
      <c r="Y344" s="32"/>
      <c r="Z344" s="8"/>
      <c r="AA344" s="8"/>
    </row>
    <row r="345" spans="1:27" s="52" customFormat="1" x14ac:dyDescent="0.25">
      <c r="A345" s="8"/>
      <c r="B345" s="9"/>
      <c r="C345" s="2"/>
      <c r="D345" s="11"/>
      <c r="E345" s="9"/>
      <c r="F345" s="10"/>
      <c r="G345" s="10"/>
      <c r="H345" s="33"/>
      <c r="I345" s="33"/>
      <c r="J345" s="33"/>
      <c r="K345" s="33"/>
      <c r="L345" s="33"/>
      <c r="M345" s="33"/>
      <c r="N345" s="33"/>
      <c r="O345" s="9"/>
      <c r="P345" s="9"/>
      <c r="Q345" s="8"/>
      <c r="R345" s="8"/>
      <c r="S345" s="12"/>
      <c r="T345" s="32"/>
      <c r="U345" s="32"/>
      <c r="V345" s="32"/>
      <c r="W345" s="32"/>
      <c r="X345" s="8"/>
      <c r="Y345" s="32"/>
      <c r="Z345" s="8"/>
      <c r="AA345" s="8"/>
    </row>
    <row r="346" spans="1:27" s="52" customFormat="1" x14ac:dyDescent="0.25">
      <c r="A346" s="8"/>
      <c r="B346" s="9"/>
      <c r="C346" s="2"/>
      <c r="D346" s="11"/>
      <c r="E346" s="9"/>
      <c r="F346" s="10"/>
      <c r="G346" s="10"/>
      <c r="H346" s="33"/>
      <c r="I346" s="33"/>
      <c r="J346" s="33"/>
      <c r="K346" s="33"/>
      <c r="L346" s="33"/>
      <c r="M346" s="33"/>
      <c r="N346" s="33"/>
      <c r="O346" s="9"/>
      <c r="P346" s="9"/>
      <c r="Q346" s="8"/>
      <c r="R346" s="8"/>
      <c r="S346" s="12"/>
      <c r="T346" s="32"/>
      <c r="U346" s="32"/>
      <c r="V346" s="32"/>
      <c r="W346" s="32"/>
      <c r="X346" s="8"/>
      <c r="Y346" s="32"/>
      <c r="Z346" s="8"/>
      <c r="AA346" s="8"/>
    </row>
    <row r="347" spans="1:27" s="52" customFormat="1" x14ac:dyDescent="0.25">
      <c r="A347" s="8"/>
      <c r="B347" s="9"/>
      <c r="C347" s="2"/>
      <c r="D347" s="11"/>
      <c r="E347" s="9"/>
      <c r="F347" s="10"/>
      <c r="G347" s="10"/>
      <c r="H347" s="33"/>
      <c r="I347" s="33"/>
      <c r="J347" s="33"/>
      <c r="K347" s="33"/>
      <c r="L347" s="33"/>
      <c r="M347" s="33"/>
      <c r="N347" s="33"/>
      <c r="O347" s="9"/>
      <c r="P347" s="9"/>
      <c r="Q347" s="8"/>
      <c r="R347" s="8"/>
      <c r="S347" s="12"/>
      <c r="T347" s="32"/>
      <c r="U347" s="32"/>
      <c r="V347" s="32"/>
      <c r="W347" s="32"/>
      <c r="X347" s="8"/>
      <c r="Y347" s="32"/>
      <c r="Z347" s="8"/>
      <c r="AA347" s="8"/>
    </row>
    <row r="348" spans="1:27" s="52" customFormat="1" x14ac:dyDescent="0.25">
      <c r="A348" s="8"/>
      <c r="B348" s="9"/>
      <c r="C348" s="2"/>
      <c r="D348" s="11"/>
      <c r="E348" s="9"/>
      <c r="F348" s="10"/>
      <c r="G348" s="10"/>
      <c r="H348" s="33"/>
      <c r="I348" s="33"/>
      <c r="J348" s="33"/>
      <c r="K348" s="33"/>
      <c r="L348" s="33"/>
      <c r="M348" s="33"/>
      <c r="N348" s="33"/>
      <c r="O348" s="9"/>
      <c r="P348" s="9"/>
      <c r="Q348" s="8"/>
      <c r="R348" s="8"/>
      <c r="S348" s="12"/>
      <c r="T348" s="32"/>
      <c r="U348" s="32"/>
      <c r="V348" s="32"/>
      <c r="W348" s="32"/>
      <c r="X348" s="8"/>
      <c r="Y348" s="32"/>
      <c r="Z348" s="8"/>
      <c r="AA348" s="8"/>
    </row>
    <row r="349" spans="1:27" s="52" customFormat="1" x14ac:dyDescent="0.25">
      <c r="A349" s="8"/>
      <c r="B349" s="9"/>
      <c r="C349" s="2"/>
      <c r="D349" s="11"/>
      <c r="E349" s="9"/>
      <c r="F349" s="10"/>
      <c r="G349" s="10"/>
      <c r="H349" s="33"/>
      <c r="I349" s="33"/>
      <c r="J349" s="33"/>
      <c r="K349" s="33"/>
      <c r="L349" s="33"/>
      <c r="M349" s="33"/>
      <c r="N349" s="33"/>
      <c r="O349" s="9"/>
      <c r="P349" s="9"/>
      <c r="Q349" s="8"/>
      <c r="R349" s="8"/>
      <c r="S349" s="12"/>
      <c r="T349" s="32"/>
      <c r="U349" s="32"/>
      <c r="V349" s="32"/>
      <c r="W349" s="32"/>
      <c r="X349" s="8"/>
      <c r="Y349" s="32"/>
      <c r="Z349" s="8"/>
      <c r="AA349" s="8"/>
    </row>
    <row r="350" spans="1:27" s="52" customFormat="1" x14ac:dyDescent="0.25">
      <c r="A350" s="8"/>
      <c r="B350" s="9"/>
      <c r="C350" s="2"/>
      <c r="D350" s="11"/>
      <c r="E350" s="9"/>
      <c r="F350" s="10"/>
      <c r="G350" s="10"/>
      <c r="H350" s="33"/>
      <c r="I350" s="33"/>
      <c r="J350" s="33"/>
      <c r="K350" s="33"/>
      <c r="L350" s="33"/>
      <c r="M350" s="33"/>
      <c r="N350" s="33"/>
      <c r="O350" s="9"/>
      <c r="P350" s="9"/>
      <c r="Q350" s="8"/>
      <c r="R350" s="8"/>
      <c r="S350" s="12"/>
      <c r="T350" s="32"/>
      <c r="U350" s="32"/>
      <c r="V350" s="32"/>
      <c r="W350" s="32"/>
      <c r="X350" s="8"/>
      <c r="Y350" s="32"/>
      <c r="Z350" s="8"/>
      <c r="AA350" s="8"/>
    </row>
    <row r="351" spans="1:27" s="52" customFormat="1" x14ac:dyDescent="0.25">
      <c r="A351" s="8"/>
      <c r="B351" s="9"/>
      <c r="C351" s="2"/>
      <c r="D351" s="11"/>
      <c r="E351" s="9"/>
      <c r="F351" s="10"/>
      <c r="G351" s="10"/>
      <c r="H351" s="33"/>
      <c r="I351" s="33"/>
      <c r="J351" s="33"/>
      <c r="K351" s="33"/>
      <c r="L351" s="33"/>
      <c r="M351" s="33"/>
      <c r="N351" s="33"/>
      <c r="O351" s="9"/>
      <c r="P351" s="9"/>
      <c r="Q351" s="8"/>
      <c r="R351" s="8"/>
      <c r="S351" s="12"/>
      <c r="T351" s="32"/>
      <c r="U351" s="32"/>
      <c r="V351" s="32"/>
      <c r="W351" s="32"/>
      <c r="X351" s="8"/>
      <c r="Y351" s="32"/>
      <c r="Z351" s="8"/>
      <c r="AA351" s="8"/>
    </row>
    <row r="352" spans="1:27" s="52" customFormat="1" x14ac:dyDescent="0.25">
      <c r="A352" s="8"/>
      <c r="B352" s="9"/>
      <c r="C352" s="2"/>
      <c r="D352" s="11"/>
      <c r="E352" s="9"/>
      <c r="F352" s="10"/>
      <c r="G352" s="10"/>
      <c r="H352" s="33"/>
      <c r="I352" s="33"/>
      <c r="J352" s="33"/>
      <c r="K352" s="33"/>
      <c r="L352" s="33"/>
      <c r="M352" s="33"/>
      <c r="N352" s="33"/>
      <c r="O352" s="9"/>
      <c r="P352" s="9"/>
      <c r="Q352" s="8"/>
      <c r="R352" s="8"/>
      <c r="S352" s="12"/>
      <c r="T352" s="32"/>
      <c r="U352" s="32"/>
      <c r="V352" s="32"/>
      <c r="W352" s="32"/>
      <c r="X352" s="8"/>
      <c r="Y352" s="32"/>
      <c r="Z352" s="8"/>
      <c r="AA352" s="8"/>
    </row>
    <row r="353" spans="1:27" s="52" customFormat="1" x14ac:dyDescent="0.25">
      <c r="A353" s="8"/>
      <c r="B353" s="9"/>
      <c r="C353" s="2"/>
      <c r="D353" s="11"/>
      <c r="E353" s="9"/>
      <c r="F353" s="10"/>
      <c r="G353" s="10"/>
      <c r="H353" s="33"/>
      <c r="I353" s="33"/>
      <c r="J353" s="33"/>
      <c r="K353" s="33"/>
      <c r="L353" s="33"/>
      <c r="M353" s="33"/>
      <c r="N353" s="33"/>
      <c r="O353" s="9"/>
      <c r="P353" s="9"/>
      <c r="Q353" s="8"/>
      <c r="R353" s="8"/>
      <c r="S353" s="12"/>
      <c r="T353" s="32"/>
      <c r="U353" s="32"/>
      <c r="V353" s="32"/>
      <c r="W353" s="32"/>
      <c r="X353" s="8"/>
      <c r="Y353" s="32"/>
      <c r="Z353" s="8"/>
      <c r="AA353" s="8"/>
    </row>
    <row r="354" spans="1:27" s="93" customFormat="1" ht="15.75" customHeight="1" x14ac:dyDescent="0.25">
      <c r="A354" s="8"/>
      <c r="B354" s="9"/>
      <c r="C354" s="2"/>
      <c r="D354" s="11"/>
      <c r="E354" s="9"/>
      <c r="F354" s="10"/>
      <c r="G354" s="10"/>
      <c r="H354" s="33"/>
      <c r="I354" s="33"/>
      <c r="J354" s="33"/>
      <c r="K354" s="33"/>
      <c r="L354" s="33"/>
      <c r="M354" s="33"/>
      <c r="N354" s="33"/>
      <c r="O354" s="9"/>
      <c r="P354" s="9"/>
      <c r="Q354" s="8"/>
      <c r="R354" s="8"/>
      <c r="S354" s="12"/>
      <c r="T354" s="32"/>
      <c r="U354" s="32"/>
      <c r="V354" s="32"/>
      <c r="W354" s="32"/>
      <c r="X354" s="8"/>
      <c r="Y354" s="32"/>
      <c r="Z354" s="8"/>
      <c r="AA354" s="8"/>
    </row>
    <row r="355" spans="1:27" s="93" customFormat="1" ht="15.75" customHeight="1" x14ac:dyDescent="0.25">
      <c r="A355" s="8"/>
      <c r="B355" s="9"/>
      <c r="C355" s="2"/>
      <c r="D355" s="11"/>
      <c r="E355" s="9"/>
      <c r="F355" s="10"/>
      <c r="G355" s="10"/>
      <c r="H355" s="33"/>
      <c r="I355" s="33"/>
      <c r="J355" s="33"/>
      <c r="K355" s="33"/>
      <c r="L355" s="33"/>
      <c r="M355" s="33"/>
      <c r="N355" s="33"/>
      <c r="O355" s="9"/>
      <c r="P355" s="9"/>
      <c r="Q355" s="8"/>
      <c r="R355" s="8"/>
      <c r="S355" s="12"/>
      <c r="T355" s="32"/>
      <c r="U355" s="32"/>
      <c r="V355" s="32"/>
      <c r="W355" s="32"/>
      <c r="X355" s="8"/>
      <c r="Y355" s="32"/>
      <c r="Z355" s="8"/>
      <c r="AA355" s="8"/>
    </row>
    <row r="356" spans="1:27" s="93" customFormat="1" ht="15.75" customHeight="1" x14ac:dyDescent="0.25">
      <c r="A356" s="8"/>
      <c r="B356" s="9"/>
      <c r="C356" s="2"/>
      <c r="D356" s="11"/>
      <c r="E356" s="9"/>
      <c r="F356" s="10"/>
      <c r="G356" s="10"/>
      <c r="H356" s="33"/>
      <c r="I356" s="33"/>
      <c r="J356" s="33"/>
      <c r="K356" s="33"/>
      <c r="L356" s="33"/>
      <c r="M356" s="33"/>
      <c r="N356" s="33"/>
      <c r="O356" s="9"/>
      <c r="P356" s="9"/>
      <c r="Q356" s="8"/>
      <c r="R356" s="8"/>
      <c r="S356" s="12"/>
      <c r="T356" s="32"/>
      <c r="U356" s="32"/>
      <c r="V356" s="32"/>
      <c r="W356" s="32"/>
      <c r="X356" s="8"/>
      <c r="Y356" s="32"/>
      <c r="Z356" s="8"/>
      <c r="AA356" s="8"/>
    </row>
    <row r="357" spans="1:27" s="93" customFormat="1" ht="15.75" customHeight="1" x14ac:dyDescent="0.25">
      <c r="A357" s="8"/>
      <c r="B357" s="9"/>
      <c r="C357" s="2"/>
      <c r="D357" s="11"/>
      <c r="E357" s="9"/>
      <c r="F357" s="10"/>
      <c r="G357" s="10"/>
      <c r="H357" s="33"/>
      <c r="I357" s="33"/>
      <c r="J357" s="33"/>
      <c r="K357" s="33"/>
      <c r="L357" s="33"/>
      <c r="M357" s="33"/>
      <c r="N357" s="33"/>
      <c r="O357" s="9"/>
      <c r="P357" s="9"/>
      <c r="Q357" s="8"/>
      <c r="R357" s="8"/>
      <c r="S357" s="12"/>
      <c r="T357" s="32"/>
      <c r="U357" s="32"/>
      <c r="V357" s="32"/>
      <c r="W357" s="32"/>
      <c r="X357" s="8"/>
      <c r="Y357" s="32"/>
      <c r="Z357" s="8"/>
      <c r="AA357" s="8"/>
    </row>
    <row r="358" spans="1:27" s="93" customFormat="1" ht="15.75" customHeight="1" x14ac:dyDescent="0.25">
      <c r="A358" s="8"/>
      <c r="B358" s="9"/>
      <c r="C358" s="2"/>
      <c r="D358" s="11"/>
      <c r="E358" s="9"/>
      <c r="F358" s="10"/>
      <c r="G358" s="10"/>
      <c r="H358" s="33"/>
      <c r="I358" s="33"/>
      <c r="J358" s="33"/>
      <c r="K358" s="33"/>
      <c r="L358" s="33"/>
      <c r="M358" s="33"/>
      <c r="N358" s="33"/>
      <c r="O358" s="9"/>
      <c r="P358" s="9"/>
      <c r="Q358" s="8"/>
      <c r="R358" s="8"/>
      <c r="S358" s="12"/>
      <c r="T358" s="32"/>
      <c r="U358" s="32"/>
      <c r="V358" s="32"/>
      <c r="W358" s="32"/>
      <c r="X358" s="8"/>
      <c r="Y358" s="32"/>
      <c r="Z358" s="8"/>
      <c r="AA358" s="8"/>
    </row>
    <row r="359" spans="1:27" s="93" customFormat="1" ht="15.75" customHeight="1" x14ac:dyDescent="0.25">
      <c r="A359" s="8"/>
      <c r="B359" s="9"/>
      <c r="C359" s="2"/>
      <c r="D359" s="11"/>
      <c r="E359" s="9"/>
      <c r="F359" s="10"/>
      <c r="G359" s="10"/>
      <c r="H359" s="33"/>
      <c r="I359" s="33"/>
      <c r="J359" s="33"/>
      <c r="K359" s="33"/>
      <c r="L359" s="33"/>
      <c r="M359" s="33"/>
      <c r="N359" s="33"/>
      <c r="O359" s="9"/>
      <c r="P359" s="9"/>
      <c r="Q359" s="8"/>
      <c r="R359" s="8"/>
      <c r="S359" s="12"/>
      <c r="T359" s="32"/>
      <c r="U359" s="32"/>
      <c r="V359" s="32"/>
      <c r="W359" s="32"/>
      <c r="X359" s="8"/>
      <c r="Y359" s="32"/>
      <c r="Z359" s="8"/>
      <c r="AA359" s="8"/>
    </row>
    <row r="360" spans="1:27" s="93" customFormat="1" ht="15.75" customHeight="1" x14ac:dyDescent="0.25">
      <c r="A360" s="8"/>
      <c r="B360" s="9"/>
      <c r="C360" s="2"/>
      <c r="D360" s="11"/>
      <c r="E360" s="9"/>
      <c r="F360" s="10"/>
      <c r="G360" s="10"/>
      <c r="H360" s="33"/>
      <c r="I360" s="33"/>
      <c r="J360" s="33"/>
      <c r="K360" s="33"/>
      <c r="L360" s="33"/>
      <c r="M360" s="33"/>
      <c r="N360" s="33"/>
      <c r="O360" s="9"/>
      <c r="P360" s="9"/>
      <c r="Q360" s="8"/>
      <c r="R360" s="8"/>
      <c r="S360" s="12"/>
      <c r="T360" s="32"/>
      <c r="U360" s="32"/>
      <c r="V360" s="32"/>
      <c r="W360" s="32"/>
      <c r="X360" s="8"/>
      <c r="Y360" s="32"/>
      <c r="Z360" s="8"/>
      <c r="AA360" s="8"/>
    </row>
    <row r="361" spans="1:27" s="93" customFormat="1" ht="15.75" customHeight="1" x14ac:dyDescent="0.25">
      <c r="A361" s="8"/>
      <c r="B361" s="9"/>
      <c r="C361" s="2"/>
      <c r="D361" s="11"/>
      <c r="E361" s="9"/>
      <c r="F361" s="10"/>
      <c r="G361" s="10"/>
      <c r="H361" s="33"/>
      <c r="I361" s="33"/>
      <c r="J361" s="33"/>
      <c r="K361" s="33"/>
      <c r="L361" s="33"/>
      <c r="M361" s="33"/>
      <c r="N361" s="33"/>
      <c r="O361" s="9"/>
      <c r="P361" s="9"/>
      <c r="Q361" s="8"/>
      <c r="R361" s="8"/>
      <c r="S361" s="12"/>
      <c r="T361" s="32"/>
      <c r="U361" s="32"/>
      <c r="V361" s="32"/>
      <c r="W361" s="32"/>
      <c r="X361" s="8"/>
      <c r="Y361" s="32"/>
      <c r="Z361" s="8"/>
      <c r="AA361" s="8"/>
    </row>
    <row r="362" spans="1:27" s="93" customFormat="1" ht="15.75" customHeight="1" x14ac:dyDescent="0.25">
      <c r="A362" s="8"/>
      <c r="B362" s="9"/>
      <c r="C362" s="2"/>
      <c r="D362" s="11"/>
      <c r="E362" s="9"/>
      <c r="F362" s="10"/>
      <c r="G362" s="10"/>
      <c r="H362" s="33"/>
      <c r="I362" s="33"/>
      <c r="J362" s="33"/>
      <c r="K362" s="33"/>
      <c r="L362" s="33"/>
      <c r="M362" s="33"/>
      <c r="N362" s="33"/>
      <c r="O362" s="9"/>
      <c r="P362" s="9"/>
      <c r="Q362" s="8"/>
      <c r="R362" s="8"/>
      <c r="S362" s="12"/>
      <c r="T362" s="32"/>
      <c r="U362" s="32"/>
      <c r="V362" s="32"/>
      <c r="W362" s="32"/>
      <c r="X362" s="8"/>
      <c r="Y362" s="32"/>
      <c r="Z362" s="8"/>
      <c r="AA362" s="8"/>
    </row>
    <row r="363" spans="1:27" s="93" customFormat="1" ht="15.75" customHeight="1" x14ac:dyDescent="0.25">
      <c r="A363" s="8"/>
      <c r="B363" s="9"/>
      <c r="C363" s="2"/>
      <c r="D363" s="11"/>
      <c r="E363" s="9"/>
      <c r="F363" s="10"/>
      <c r="G363" s="10"/>
      <c r="H363" s="33"/>
      <c r="I363" s="33"/>
      <c r="J363" s="33"/>
      <c r="K363" s="33"/>
      <c r="L363" s="33"/>
      <c r="M363" s="33"/>
      <c r="N363" s="33"/>
      <c r="O363" s="9"/>
      <c r="P363" s="9"/>
      <c r="Q363" s="8"/>
      <c r="R363" s="8"/>
      <c r="S363" s="12"/>
      <c r="T363" s="32"/>
      <c r="U363" s="32"/>
      <c r="V363" s="32"/>
      <c r="W363" s="32"/>
      <c r="X363" s="8"/>
      <c r="Y363" s="32"/>
      <c r="Z363" s="8"/>
      <c r="AA363" s="8"/>
    </row>
    <row r="364" spans="1:27" s="93" customFormat="1" ht="15.75" customHeight="1" x14ac:dyDescent="0.25">
      <c r="A364" s="8"/>
      <c r="B364" s="9"/>
      <c r="C364" s="2"/>
      <c r="D364" s="11"/>
      <c r="E364" s="9"/>
      <c r="F364" s="10"/>
      <c r="G364" s="10"/>
      <c r="H364" s="33"/>
      <c r="I364" s="33"/>
      <c r="J364" s="33"/>
      <c r="K364" s="33"/>
      <c r="L364" s="33"/>
      <c r="M364" s="33"/>
      <c r="N364" s="33"/>
      <c r="O364" s="9"/>
      <c r="P364" s="9"/>
      <c r="Q364" s="8"/>
      <c r="R364" s="8"/>
      <c r="S364" s="12"/>
      <c r="T364" s="32"/>
      <c r="U364" s="32"/>
      <c r="V364" s="32"/>
      <c r="W364" s="32"/>
      <c r="X364" s="8"/>
      <c r="Y364" s="32"/>
      <c r="Z364" s="8"/>
      <c r="AA364" s="8"/>
    </row>
    <row r="365" spans="1:27" s="93" customFormat="1" ht="15.75" customHeight="1" x14ac:dyDescent="0.25">
      <c r="A365" s="8"/>
      <c r="B365" s="9"/>
      <c r="C365" s="2"/>
      <c r="D365" s="11"/>
      <c r="E365" s="9"/>
      <c r="F365" s="10"/>
      <c r="G365" s="10"/>
      <c r="H365" s="33"/>
      <c r="I365" s="33"/>
      <c r="J365" s="33"/>
      <c r="K365" s="33"/>
      <c r="L365" s="33"/>
      <c r="M365" s="33"/>
      <c r="N365" s="33"/>
      <c r="O365" s="9"/>
      <c r="P365" s="9"/>
      <c r="Q365" s="8"/>
      <c r="R365" s="8"/>
      <c r="S365" s="12"/>
      <c r="T365" s="32"/>
      <c r="U365" s="32"/>
      <c r="V365" s="32"/>
      <c r="W365" s="32"/>
      <c r="X365" s="8"/>
      <c r="Y365" s="32"/>
      <c r="Z365" s="8"/>
      <c r="AA365" s="8"/>
    </row>
    <row r="366" spans="1:27" s="93" customFormat="1" ht="15.75" customHeight="1" x14ac:dyDescent="0.25">
      <c r="A366" s="8"/>
      <c r="B366" s="9"/>
      <c r="C366" s="2"/>
      <c r="D366" s="11"/>
      <c r="E366" s="9"/>
      <c r="F366" s="10"/>
      <c r="G366" s="10"/>
      <c r="H366" s="33"/>
      <c r="I366" s="33"/>
      <c r="J366" s="33"/>
      <c r="K366" s="33"/>
      <c r="L366" s="33"/>
      <c r="M366" s="33"/>
      <c r="N366" s="33"/>
      <c r="O366" s="9"/>
      <c r="P366" s="9"/>
      <c r="Q366" s="8"/>
      <c r="R366" s="8"/>
      <c r="S366" s="12"/>
      <c r="T366" s="32"/>
      <c r="U366" s="32"/>
      <c r="V366" s="32"/>
      <c r="W366" s="32"/>
      <c r="X366" s="8"/>
      <c r="Y366" s="32"/>
      <c r="Z366" s="8"/>
      <c r="AA366" s="8"/>
    </row>
    <row r="367" spans="1:27" s="93" customFormat="1" ht="15.75" customHeight="1" x14ac:dyDescent="0.25">
      <c r="A367" s="8"/>
      <c r="B367" s="9"/>
      <c r="C367" s="2"/>
      <c r="D367" s="11"/>
      <c r="E367" s="9"/>
      <c r="F367" s="10"/>
      <c r="G367" s="10"/>
      <c r="H367" s="33"/>
      <c r="I367" s="33"/>
      <c r="J367" s="33"/>
      <c r="K367" s="33"/>
      <c r="L367" s="33"/>
      <c r="M367" s="33"/>
      <c r="N367" s="33"/>
      <c r="O367" s="9"/>
      <c r="P367" s="9"/>
      <c r="Q367" s="8"/>
      <c r="R367" s="8"/>
      <c r="S367" s="12"/>
      <c r="T367" s="32"/>
      <c r="U367" s="32"/>
      <c r="V367" s="32"/>
      <c r="W367" s="32"/>
      <c r="X367" s="8"/>
      <c r="Y367" s="32"/>
      <c r="Z367" s="8"/>
      <c r="AA367" s="8"/>
    </row>
    <row r="368" spans="1:27" s="93" customFormat="1" ht="15.75" customHeight="1" x14ac:dyDescent="0.25">
      <c r="A368" s="8"/>
      <c r="B368" s="9"/>
      <c r="C368" s="2"/>
      <c r="D368" s="11"/>
      <c r="E368" s="9"/>
      <c r="F368" s="10"/>
      <c r="G368" s="10"/>
      <c r="H368" s="33"/>
      <c r="I368" s="33"/>
      <c r="J368" s="33"/>
      <c r="K368" s="33"/>
      <c r="L368" s="33"/>
      <c r="M368" s="33"/>
      <c r="N368" s="33"/>
      <c r="O368" s="9"/>
      <c r="P368" s="9"/>
      <c r="Q368" s="8"/>
      <c r="R368" s="8"/>
      <c r="S368" s="12"/>
      <c r="T368" s="32"/>
      <c r="U368" s="32"/>
      <c r="V368" s="32"/>
      <c r="W368" s="32"/>
      <c r="X368" s="8"/>
      <c r="Y368" s="32"/>
      <c r="Z368" s="8"/>
      <c r="AA368" s="8"/>
    </row>
    <row r="369" spans="1:27" s="87" customFormat="1" x14ac:dyDescent="0.25">
      <c r="A369" s="8"/>
      <c r="B369" s="9"/>
      <c r="C369" s="2"/>
      <c r="D369" s="11"/>
      <c r="E369" s="9"/>
      <c r="F369" s="10"/>
      <c r="G369" s="10"/>
      <c r="H369" s="33"/>
      <c r="I369" s="33"/>
      <c r="J369" s="33"/>
      <c r="K369" s="33"/>
      <c r="L369" s="33"/>
      <c r="M369" s="33"/>
      <c r="N369" s="33"/>
      <c r="O369" s="9"/>
      <c r="P369" s="9"/>
      <c r="Q369" s="8"/>
      <c r="R369" s="8"/>
      <c r="S369" s="12"/>
      <c r="T369" s="32"/>
      <c r="U369" s="32"/>
      <c r="V369" s="32"/>
      <c r="W369" s="32"/>
      <c r="X369" s="8"/>
      <c r="Y369" s="32"/>
      <c r="Z369" s="8"/>
      <c r="AA369" s="8"/>
    </row>
    <row r="370" spans="1:27" s="52" customFormat="1" x14ac:dyDescent="0.25">
      <c r="A370" s="8"/>
      <c r="B370" s="9"/>
      <c r="C370" s="2"/>
      <c r="D370" s="11"/>
      <c r="E370" s="9"/>
      <c r="F370" s="10"/>
      <c r="G370" s="10"/>
      <c r="H370" s="33"/>
      <c r="I370" s="33"/>
      <c r="J370" s="33"/>
      <c r="K370" s="33"/>
      <c r="L370" s="33"/>
      <c r="M370" s="33"/>
      <c r="N370" s="33"/>
      <c r="O370" s="9"/>
      <c r="P370" s="9"/>
      <c r="Q370" s="8"/>
      <c r="R370" s="8"/>
      <c r="S370" s="12"/>
      <c r="T370" s="32"/>
      <c r="U370" s="32"/>
      <c r="V370" s="32"/>
      <c r="W370" s="32"/>
      <c r="X370" s="8"/>
      <c r="Y370" s="32"/>
      <c r="Z370" s="8"/>
      <c r="AA370" s="8"/>
    </row>
    <row r="371" spans="1:27" s="52" customFormat="1" x14ac:dyDescent="0.25">
      <c r="A371" s="8"/>
      <c r="B371" s="9"/>
      <c r="C371" s="2"/>
      <c r="D371" s="11"/>
      <c r="E371" s="9"/>
      <c r="F371" s="10"/>
      <c r="G371" s="10"/>
      <c r="H371" s="33"/>
      <c r="I371" s="33"/>
      <c r="J371" s="33"/>
      <c r="K371" s="33"/>
      <c r="L371" s="33"/>
      <c r="M371" s="33"/>
      <c r="N371" s="33"/>
      <c r="O371" s="9"/>
      <c r="P371" s="9"/>
      <c r="Q371" s="8"/>
      <c r="R371" s="8"/>
      <c r="S371" s="12"/>
      <c r="T371" s="32"/>
      <c r="U371" s="32"/>
      <c r="V371" s="32"/>
      <c r="W371" s="32"/>
      <c r="X371" s="8"/>
      <c r="Y371" s="32"/>
      <c r="Z371" s="8"/>
      <c r="AA371" s="8"/>
    </row>
    <row r="372" spans="1:27" s="52" customFormat="1" x14ac:dyDescent="0.25">
      <c r="A372" s="8"/>
      <c r="B372" s="9"/>
      <c r="C372" s="2"/>
      <c r="D372" s="11"/>
      <c r="E372" s="9"/>
      <c r="F372" s="10"/>
      <c r="G372" s="10"/>
      <c r="H372" s="33"/>
      <c r="I372" s="33"/>
      <c r="J372" s="33"/>
      <c r="K372" s="33"/>
      <c r="L372" s="33"/>
      <c r="M372" s="33"/>
      <c r="N372" s="33"/>
      <c r="O372" s="9"/>
      <c r="P372" s="9"/>
      <c r="Q372" s="8"/>
      <c r="R372" s="8"/>
      <c r="S372" s="12"/>
      <c r="T372" s="32"/>
      <c r="U372" s="32"/>
      <c r="V372" s="32"/>
      <c r="W372" s="32"/>
      <c r="X372" s="8"/>
      <c r="Y372" s="32"/>
      <c r="Z372" s="8"/>
      <c r="AA372" s="8"/>
    </row>
    <row r="373" spans="1:27" s="52" customFormat="1" x14ac:dyDescent="0.25">
      <c r="A373" s="8"/>
      <c r="B373" s="9"/>
      <c r="C373" s="2"/>
      <c r="D373" s="11"/>
      <c r="E373" s="9"/>
      <c r="F373" s="10"/>
      <c r="G373" s="10"/>
      <c r="H373" s="33"/>
      <c r="I373" s="33"/>
      <c r="J373" s="33"/>
      <c r="K373" s="33"/>
      <c r="L373" s="33"/>
      <c r="M373" s="33"/>
      <c r="N373" s="33"/>
      <c r="O373" s="9"/>
      <c r="P373" s="9"/>
      <c r="Q373" s="8"/>
      <c r="R373" s="8"/>
      <c r="S373" s="12"/>
      <c r="T373" s="32"/>
      <c r="U373" s="32"/>
      <c r="V373" s="32"/>
      <c r="W373" s="32"/>
      <c r="X373" s="8"/>
      <c r="Y373" s="32"/>
      <c r="Z373" s="8"/>
      <c r="AA373" s="8"/>
    </row>
    <row r="374" spans="1:27" s="52" customFormat="1" x14ac:dyDescent="0.25">
      <c r="A374" s="8"/>
      <c r="B374" s="9"/>
      <c r="C374" s="2"/>
      <c r="D374" s="11"/>
      <c r="E374" s="9"/>
      <c r="F374" s="10"/>
      <c r="G374" s="10"/>
      <c r="H374" s="33"/>
      <c r="I374" s="33"/>
      <c r="J374" s="33"/>
      <c r="K374" s="33"/>
      <c r="L374" s="33"/>
      <c r="M374" s="33"/>
      <c r="N374" s="33"/>
      <c r="O374" s="9"/>
      <c r="P374" s="9"/>
      <c r="Q374" s="8"/>
      <c r="R374" s="8"/>
      <c r="S374" s="12"/>
      <c r="T374" s="32"/>
      <c r="U374" s="32"/>
      <c r="V374" s="32"/>
      <c r="W374" s="32"/>
      <c r="X374" s="8"/>
      <c r="Y374" s="32"/>
      <c r="Z374" s="8"/>
      <c r="AA374" s="8"/>
    </row>
    <row r="375" spans="1:27" s="52" customFormat="1" x14ac:dyDescent="0.25">
      <c r="A375" s="8"/>
      <c r="B375" s="9"/>
      <c r="C375" s="2"/>
      <c r="D375" s="11"/>
      <c r="E375" s="9"/>
      <c r="F375" s="10"/>
      <c r="G375" s="10"/>
      <c r="H375" s="33"/>
      <c r="I375" s="33"/>
      <c r="J375" s="33"/>
      <c r="K375" s="33"/>
      <c r="L375" s="33"/>
      <c r="M375" s="33"/>
      <c r="N375" s="33"/>
      <c r="O375" s="9"/>
      <c r="P375" s="9"/>
      <c r="Q375" s="8"/>
      <c r="R375" s="8"/>
      <c r="S375" s="12"/>
      <c r="T375" s="32"/>
      <c r="U375" s="32"/>
      <c r="V375" s="32"/>
      <c r="W375" s="32"/>
      <c r="X375" s="8"/>
      <c r="Y375" s="32"/>
      <c r="Z375" s="8"/>
      <c r="AA375" s="8"/>
    </row>
    <row r="376" spans="1:27" s="52" customFormat="1" x14ac:dyDescent="0.25">
      <c r="A376" s="8"/>
      <c r="B376" s="9"/>
      <c r="C376" s="2"/>
      <c r="D376" s="11"/>
      <c r="E376" s="9"/>
      <c r="F376" s="10"/>
      <c r="G376" s="10"/>
      <c r="H376" s="33"/>
      <c r="I376" s="33"/>
      <c r="J376" s="33"/>
      <c r="K376" s="33"/>
      <c r="L376" s="33"/>
      <c r="M376" s="33"/>
      <c r="N376" s="33"/>
      <c r="O376" s="9"/>
      <c r="P376" s="9"/>
      <c r="Q376" s="8"/>
      <c r="R376" s="8"/>
      <c r="S376" s="12"/>
      <c r="T376" s="32"/>
      <c r="U376" s="32"/>
      <c r="V376" s="32"/>
      <c r="W376" s="32"/>
      <c r="X376" s="8"/>
      <c r="Y376" s="32"/>
      <c r="Z376" s="8"/>
      <c r="AA376" s="8"/>
    </row>
    <row r="377" spans="1:27" s="52" customFormat="1" x14ac:dyDescent="0.25">
      <c r="A377" s="8"/>
      <c r="B377" s="9"/>
      <c r="C377" s="2"/>
      <c r="D377" s="11"/>
      <c r="E377" s="9"/>
      <c r="F377" s="10"/>
      <c r="G377" s="10"/>
      <c r="H377" s="33"/>
      <c r="I377" s="33"/>
      <c r="J377" s="33"/>
      <c r="K377" s="33"/>
      <c r="L377" s="33"/>
      <c r="M377" s="33"/>
      <c r="N377" s="33"/>
      <c r="O377" s="9"/>
      <c r="P377" s="9"/>
      <c r="Q377" s="8"/>
      <c r="R377" s="8"/>
      <c r="S377" s="12"/>
      <c r="T377" s="32"/>
      <c r="U377" s="32"/>
      <c r="V377" s="32"/>
      <c r="W377" s="32"/>
      <c r="X377" s="8"/>
      <c r="Y377" s="32"/>
      <c r="Z377" s="8"/>
      <c r="AA377" s="8"/>
    </row>
    <row r="378" spans="1:27" s="52" customFormat="1" x14ac:dyDescent="0.25">
      <c r="A378" s="8"/>
      <c r="B378" s="9"/>
      <c r="C378" s="2"/>
      <c r="D378" s="11"/>
      <c r="E378" s="9"/>
      <c r="F378" s="10"/>
      <c r="G378" s="10"/>
      <c r="H378" s="33"/>
      <c r="I378" s="33"/>
      <c r="J378" s="33"/>
      <c r="K378" s="33"/>
      <c r="L378" s="33"/>
      <c r="M378" s="33"/>
      <c r="N378" s="33"/>
      <c r="O378" s="9"/>
      <c r="P378" s="9"/>
      <c r="Q378" s="8"/>
      <c r="R378" s="8"/>
      <c r="S378" s="12"/>
      <c r="T378" s="32"/>
      <c r="U378" s="32"/>
      <c r="V378" s="32"/>
      <c r="W378" s="32"/>
      <c r="X378" s="8"/>
      <c r="Y378" s="32"/>
      <c r="Z378" s="8"/>
      <c r="AA378" s="8"/>
    </row>
    <row r="379" spans="1:27" s="52" customFormat="1" x14ac:dyDescent="0.25">
      <c r="A379" s="8"/>
      <c r="B379" s="9"/>
      <c r="C379" s="2"/>
      <c r="D379" s="11"/>
      <c r="E379" s="9"/>
      <c r="F379" s="10"/>
      <c r="G379" s="10"/>
      <c r="H379" s="33"/>
      <c r="I379" s="33"/>
      <c r="J379" s="33"/>
      <c r="K379" s="33"/>
      <c r="L379" s="33"/>
      <c r="M379" s="33"/>
      <c r="N379" s="33"/>
      <c r="O379" s="9"/>
      <c r="P379" s="9"/>
      <c r="Q379" s="8"/>
      <c r="R379" s="8"/>
      <c r="S379" s="12"/>
      <c r="T379" s="32"/>
      <c r="U379" s="32"/>
      <c r="V379" s="32"/>
      <c r="W379" s="32"/>
      <c r="X379" s="8"/>
      <c r="Y379" s="32"/>
      <c r="Z379" s="8"/>
      <c r="AA379" s="8"/>
    </row>
    <row r="380" spans="1:27" s="52" customFormat="1" x14ac:dyDescent="0.25">
      <c r="A380" s="8"/>
      <c r="B380" s="9"/>
      <c r="C380" s="2"/>
      <c r="D380" s="11"/>
      <c r="E380" s="9"/>
      <c r="F380" s="10"/>
      <c r="G380" s="10"/>
      <c r="H380" s="33"/>
      <c r="I380" s="33"/>
      <c r="J380" s="33"/>
      <c r="K380" s="33"/>
      <c r="L380" s="33"/>
      <c r="M380" s="33"/>
      <c r="N380" s="33"/>
      <c r="O380" s="9"/>
      <c r="P380" s="9"/>
      <c r="Q380" s="8"/>
      <c r="R380" s="8"/>
      <c r="S380" s="12"/>
      <c r="T380" s="32"/>
      <c r="U380" s="32"/>
      <c r="V380" s="32"/>
      <c r="W380" s="32"/>
      <c r="X380" s="8"/>
      <c r="Y380" s="32"/>
      <c r="Z380" s="8"/>
      <c r="AA380" s="8"/>
    </row>
    <row r="381" spans="1:27" s="52" customFormat="1" x14ac:dyDescent="0.25">
      <c r="A381" s="8"/>
      <c r="B381" s="9"/>
      <c r="C381" s="2"/>
      <c r="D381" s="11"/>
      <c r="E381" s="9"/>
      <c r="F381" s="10"/>
      <c r="G381" s="10"/>
      <c r="H381" s="33"/>
      <c r="I381" s="33"/>
      <c r="J381" s="33"/>
      <c r="K381" s="33"/>
      <c r="L381" s="33"/>
      <c r="M381" s="33"/>
      <c r="N381" s="33"/>
      <c r="O381" s="9"/>
      <c r="P381" s="9"/>
      <c r="Q381" s="8"/>
      <c r="R381" s="8"/>
      <c r="S381" s="12"/>
      <c r="T381" s="32"/>
      <c r="U381" s="32"/>
      <c r="V381" s="32"/>
      <c r="W381" s="32"/>
      <c r="X381" s="8"/>
      <c r="Y381" s="32"/>
      <c r="Z381" s="8"/>
      <c r="AA381" s="8"/>
    </row>
    <row r="382" spans="1:27" s="52" customFormat="1" x14ac:dyDescent="0.25">
      <c r="A382" s="8"/>
      <c r="B382" s="9"/>
      <c r="C382" s="2"/>
      <c r="D382" s="11"/>
      <c r="E382" s="9"/>
      <c r="F382" s="10"/>
      <c r="G382" s="10"/>
      <c r="H382" s="33"/>
      <c r="I382" s="33"/>
      <c r="J382" s="33"/>
      <c r="K382" s="33"/>
      <c r="L382" s="33"/>
      <c r="M382" s="33"/>
      <c r="N382" s="33"/>
      <c r="O382" s="9"/>
      <c r="P382" s="9"/>
      <c r="Q382" s="8"/>
      <c r="R382" s="8"/>
      <c r="S382" s="12"/>
      <c r="T382" s="32"/>
      <c r="U382" s="32"/>
      <c r="V382" s="32"/>
      <c r="W382" s="32"/>
      <c r="X382" s="8"/>
      <c r="Y382" s="32"/>
      <c r="Z382" s="8"/>
      <c r="AA382" s="8"/>
    </row>
    <row r="383" spans="1:27" s="52" customFormat="1" x14ac:dyDescent="0.25">
      <c r="A383" s="8"/>
      <c r="B383" s="9"/>
      <c r="C383" s="2"/>
      <c r="D383" s="11"/>
      <c r="E383" s="9"/>
      <c r="F383" s="10"/>
      <c r="G383" s="10"/>
      <c r="H383" s="33"/>
      <c r="I383" s="33"/>
      <c r="J383" s="33"/>
      <c r="K383" s="33"/>
      <c r="L383" s="33"/>
      <c r="M383" s="33"/>
      <c r="N383" s="33"/>
      <c r="O383" s="9"/>
      <c r="P383" s="9"/>
      <c r="Q383" s="8"/>
      <c r="R383" s="8"/>
      <c r="S383" s="12"/>
      <c r="T383" s="32"/>
      <c r="U383" s="32"/>
      <c r="V383" s="32"/>
      <c r="W383" s="32"/>
      <c r="X383" s="8"/>
      <c r="Y383" s="32"/>
      <c r="Z383" s="8"/>
      <c r="AA383" s="8"/>
    </row>
    <row r="384" spans="1:27" s="52" customFormat="1" x14ac:dyDescent="0.25">
      <c r="A384" s="8"/>
      <c r="B384" s="9"/>
      <c r="C384" s="2"/>
      <c r="D384" s="11"/>
      <c r="E384" s="9"/>
      <c r="F384" s="10"/>
      <c r="G384" s="10"/>
      <c r="H384" s="33"/>
      <c r="I384" s="33"/>
      <c r="J384" s="33"/>
      <c r="K384" s="33"/>
      <c r="L384" s="33"/>
      <c r="M384" s="33"/>
      <c r="N384" s="33"/>
      <c r="O384" s="9"/>
      <c r="P384" s="9"/>
      <c r="Q384" s="8"/>
      <c r="R384" s="8"/>
      <c r="S384" s="12"/>
      <c r="T384" s="32"/>
      <c r="U384" s="32"/>
      <c r="V384" s="32"/>
      <c r="W384" s="32"/>
      <c r="X384" s="8"/>
      <c r="Y384" s="32"/>
      <c r="Z384" s="8"/>
      <c r="AA384" s="8"/>
    </row>
    <row r="385" spans="1:27" s="52" customFormat="1" x14ac:dyDescent="0.25">
      <c r="A385" s="8"/>
      <c r="B385" s="9"/>
      <c r="C385" s="2"/>
      <c r="D385" s="11"/>
      <c r="E385" s="9"/>
      <c r="F385" s="10"/>
      <c r="G385" s="10"/>
      <c r="H385" s="33"/>
      <c r="I385" s="33"/>
      <c r="J385" s="33"/>
      <c r="K385" s="33"/>
      <c r="L385" s="33"/>
      <c r="M385" s="33"/>
      <c r="N385" s="33"/>
      <c r="O385" s="9"/>
      <c r="P385" s="9"/>
      <c r="Q385" s="8"/>
      <c r="R385" s="8"/>
      <c r="S385" s="12"/>
      <c r="T385" s="32"/>
      <c r="U385" s="32"/>
      <c r="V385" s="32"/>
      <c r="W385" s="32"/>
      <c r="X385" s="8"/>
      <c r="Y385" s="32"/>
      <c r="Z385" s="8"/>
      <c r="AA385" s="8"/>
    </row>
    <row r="386" spans="1:27" s="52" customFormat="1" x14ac:dyDescent="0.25">
      <c r="A386" s="8"/>
      <c r="B386" s="9"/>
      <c r="C386" s="2"/>
      <c r="D386" s="11"/>
      <c r="E386" s="9"/>
      <c r="F386" s="10"/>
      <c r="G386" s="10"/>
      <c r="H386" s="33"/>
      <c r="I386" s="33"/>
      <c r="J386" s="33"/>
      <c r="K386" s="33"/>
      <c r="L386" s="33"/>
      <c r="M386" s="33"/>
      <c r="N386" s="33"/>
      <c r="O386" s="9"/>
      <c r="P386" s="9"/>
      <c r="Q386" s="8"/>
      <c r="R386" s="8"/>
      <c r="S386" s="12"/>
      <c r="T386" s="32"/>
      <c r="U386" s="32"/>
      <c r="V386" s="32"/>
      <c r="W386" s="32"/>
      <c r="X386" s="8"/>
      <c r="Y386" s="32"/>
      <c r="Z386" s="8"/>
      <c r="AA386" s="8"/>
    </row>
    <row r="387" spans="1:27" s="52" customFormat="1" x14ac:dyDescent="0.25">
      <c r="A387" s="8"/>
      <c r="B387" s="9"/>
      <c r="C387" s="2"/>
      <c r="D387" s="11"/>
      <c r="E387" s="9"/>
      <c r="F387" s="10"/>
      <c r="G387" s="10"/>
      <c r="H387" s="33"/>
      <c r="I387" s="33"/>
      <c r="J387" s="33"/>
      <c r="K387" s="33"/>
      <c r="L387" s="33"/>
      <c r="M387" s="33"/>
      <c r="N387" s="33"/>
      <c r="O387" s="9"/>
      <c r="P387" s="9"/>
      <c r="Q387" s="8"/>
      <c r="R387" s="8"/>
      <c r="S387" s="12"/>
      <c r="T387" s="32"/>
      <c r="U387" s="32"/>
      <c r="V387" s="32"/>
      <c r="W387" s="32"/>
      <c r="X387" s="8"/>
      <c r="Y387" s="32"/>
      <c r="Z387" s="8"/>
      <c r="AA387" s="8"/>
    </row>
    <row r="388" spans="1:27" s="52" customFormat="1" x14ac:dyDescent="0.25">
      <c r="A388" s="8"/>
      <c r="B388" s="9"/>
      <c r="C388" s="2"/>
      <c r="D388" s="11"/>
      <c r="E388" s="9"/>
      <c r="F388" s="10"/>
      <c r="G388" s="10"/>
      <c r="H388" s="33"/>
      <c r="I388" s="33"/>
      <c r="J388" s="33"/>
      <c r="K388" s="33"/>
      <c r="L388" s="33"/>
      <c r="M388" s="33"/>
      <c r="N388" s="33"/>
      <c r="O388" s="9"/>
      <c r="P388" s="9"/>
      <c r="Q388" s="8"/>
      <c r="R388" s="8"/>
      <c r="S388" s="12"/>
      <c r="T388" s="32"/>
      <c r="U388" s="32"/>
      <c r="V388" s="32"/>
      <c r="W388" s="32"/>
      <c r="X388" s="8"/>
      <c r="Y388" s="32"/>
      <c r="Z388" s="8"/>
      <c r="AA388" s="8"/>
    </row>
    <row r="389" spans="1:27" s="52" customFormat="1" x14ac:dyDescent="0.25">
      <c r="A389" s="8"/>
      <c r="B389" s="9"/>
      <c r="C389" s="2"/>
      <c r="D389" s="11"/>
      <c r="E389" s="9"/>
      <c r="F389" s="10"/>
      <c r="G389" s="10"/>
      <c r="H389" s="33"/>
      <c r="I389" s="33"/>
      <c r="J389" s="33"/>
      <c r="K389" s="33"/>
      <c r="L389" s="33"/>
      <c r="M389" s="33"/>
      <c r="N389" s="33"/>
      <c r="O389" s="9"/>
      <c r="P389" s="9"/>
      <c r="Q389" s="8"/>
      <c r="R389" s="8"/>
      <c r="S389" s="12"/>
      <c r="T389" s="32"/>
      <c r="U389" s="32"/>
      <c r="V389" s="32"/>
      <c r="W389" s="32"/>
      <c r="X389" s="8"/>
      <c r="Y389" s="32"/>
      <c r="Z389" s="8"/>
      <c r="AA389" s="8"/>
    </row>
    <row r="390" spans="1:27" s="52" customFormat="1" x14ac:dyDescent="0.25">
      <c r="A390" s="8"/>
      <c r="B390" s="9"/>
      <c r="C390" s="2"/>
      <c r="D390" s="11"/>
      <c r="E390" s="9"/>
      <c r="F390" s="10"/>
      <c r="G390" s="10"/>
      <c r="H390" s="33"/>
      <c r="I390" s="33"/>
      <c r="J390" s="33"/>
      <c r="K390" s="33"/>
      <c r="L390" s="33"/>
      <c r="M390" s="33"/>
      <c r="N390" s="33"/>
      <c r="O390" s="9"/>
      <c r="P390" s="9"/>
      <c r="Q390" s="8"/>
      <c r="R390" s="8"/>
      <c r="S390" s="12"/>
      <c r="T390" s="32"/>
      <c r="U390" s="32"/>
      <c r="V390" s="32"/>
      <c r="W390" s="32"/>
      <c r="X390" s="8"/>
      <c r="Y390" s="32"/>
      <c r="Z390" s="8"/>
      <c r="AA390" s="8"/>
    </row>
    <row r="391" spans="1:27" s="52" customFormat="1" x14ac:dyDescent="0.25">
      <c r="A391" s="8"/>
      <c r="B391" s="9"/>
      <c r="C391" s="2"/>
      <c r="D391" s="11"/>
      <c r="E391" s="9"/>
      <c r="F391" s="10"/>
      <c r="G391" s="10"/>
      <c r="H391" s="33"/>
      <c r="I391" s="33"/>
      <c r="J391" s="33"/>
      <c r="K391" s="33"/>
      <c r="L391" s="33"/>
      <c r="M391" s="33"/>
      <c r="N391" s="33"/>
      <c r="O391" s="9"/>
      <c r="P391" s="9"/>
      <c r="Q391" s="8"/>
      <c r="R391" s="8"/>
      <c r="S391" s="12"/>
      <c r="T391" s="32"/>
      <c r="U391" s="32"/>
      <c r="V391" s="32"/>
      <c r="W391" s="32"/>
      <c r="X391" s="8"/>
      <c r="Y391" s="32"/>
      <c r="Z391" s="8"/>
      <c r="AA391" s="8"/>
    </row>
    <row r="392" spans="1:27" s="52" customFormat="1" x14ac:dyDescent="0.25">
      <c r="A392" s="8"/>
      <c r="B392" s="9"/>
      <c r="C392" s="2"/>
      <c r="D392" s="11"/>
      <c r="E392" s="9"/>
      <c r="F392" s="10"/>
      <c r="G392" s="10"/>
      <c r="H392" s="33"/>
      <c r="I392" s="33"/>
      <c r="J392" s="33"/>
      <c r="K392" s="33"/>
      <c r="L392" s="33"/>
      <c r="M392" s="33"/>
      <c r="N392" s="33"/>
      <c r="O392" s="9"/>
      <c r="P392" s="9"/>
      <c r="Q392" s="8"/>
      <c r="R392" s="8"/>
      <c r="S392" s="12"/>
      <c r="T392" s="32"/>
      <c r="U392" s="32"/>
      <c r="V392" s="32"/>
      <c r="W392" s="32"/>
      <c r="X392" s="8"/>
      <c r="Y392" s="32"/>
      <c r="Z392" s="8"/>
      <c r="AA392" s="8"/>
    </row>
    <row r="393" spans="1:27" s="52" customFormat="1" x14ac:dyDescent="0.25">
      <c r="A393" s="8"/>
      <c r="B393" s="9"/>
      <c r="C393" s="2"/>
      <c r="D393" s="11"/>
      <c r="E393" s="9"/>
      <c r="F393" s="10"/>
      <c r="G393" s="10"/>
      <c r="H393" s="33"/>
      <c r="I393" s="33"/>
      <c r="J393" s="33"/>
      <c r="K393" s="33"/>
      <c r="L393" s="33"/>
      <c r="M393" s="33"/>
      <c r="N393" s="33"/>
      <c r="O393" s="9"/>
      <c r="P393" s="9"/>
      <c r="Q393" s="8"/>
      <c r="R393" s="8"/>
      <c r="S393" s="12"/>
      <c r="T393" s="32"/>
      <c r="U393" s="32"/>
      <c r="V393" s="32"/>
      <c r="W393" s="32"/>
      <c r="X393" s="8"/>
      <c r="Y393" s="32"/>
      <c r="Z393" s="8"/>
      <c r="AA393" s="8"/>
    </row>
    <row r="394" spans="1:27" s="52" customFormat="1" x14ac:dyDescent="0.25">
      <c r="A394" s="8"/>
      <c r="B394" s="9"/>
      <c r="C394" s="2"/>
      <c r="D394" s="11"/>
      <c r="E394" s="9"/>
      <c r="F394" s="10"/>
      <c r="G394" s="10"/>
      <c r="H394" s="33"/>
      <c r="I394" s="33"/>
      <c r="J394" s="33"/>
      <c r="K394" s="33"/>
      <c r="L394" s="33"/>
      <c r="M394" s="33"/>
      <c r="N394" s="33"/>
      <c r="O394" s="9"/>
      <c r="P394" s="9"/>
      <c r="Q394" s="8"/>
      <c r="R394" s="8"/>
      <c r="S394" s="12"/>
      <c r="T394" s="32"/>
      <c r="U394" s="32"/>
      <c r="V394" s="32"/>
      <c r="W394" s="32"/>
      <c r="X394" s="8"/>
      <c r="Y394" s="32"/>
      <c r="Z394" s="8"/>
      <c r="AA394" s="8"/>
    </row>
    <row r="395" spans="1:27" s="52" customFormat="1" x14ac:dyDescent="0.25">
      <c r="A395" s="8"/>
      <c r="B395" s="9"/>
      <c r="C395" s="2"/>
      <c r="D395" s="11"/>
      <c r="E395" s="9"/>
      <c r="F395" s="10"/>
      <c r="G395" s="10"/>
      <c r="H395" s="33"/>
      <c r="I395" s="33"/>
      <c r="J395" s="33"/>
      <c r="K395" s="33"/>
      <c r="L395" s="33"/>
      <c r="M395" s="33"/>
      <c r="N395" s="33"/>
      <c r="O395" s="9"/>
      <c r="P395" s="9"/>
      <c r="Q395" s="8"/>
      <c r="R395" s="8"/>
      <c r="S395" s="12"/>
      <c r="T395" s="32"/>
      <c r="U395" s="32"/>
      <c r="V395" s="32"/>
      <c r="W395" s="32"/>
      <c r="X395" s="8"/>
      <c r="Y395" s="32"/>
      <c r="Z395" s="8"/>
      <c r="AA395" s="8"/>
    </row>
    <row r="396" spans="1:27" s="52" customFormat="1" x14ac:dyDescent="0.25">
      <c r="A396" s="8"/>
      <c r="B396" s="9"/>
      <c r="C396" s="2"/>
      <c r="D396" s="11"/>
      <c r="E396" s="9"/>
      <c r="F396" s="10"/>
      <c r="G396" s="10"/>
      <c r="H396" s="33"/>
      <c r="I396" s="33"/>
      <c r="J396" s="33"/>
      <c r="K396" s="33"/>
      <c r="L396" s="33"/>
      <c r="M396" s="33"/>
      <c r="N396" s="33"/>
      <c r="O396" s="9"/>
      <c r="P396" s="9"/>
      <c r="Q396" s="8"/>
      <c r="R396" s="8"/>
      <c r="S396" s="12"/>
      <c r="T396" s="32"/>
      <c r="U396" s="32"/>
      <c r="V396" s="32"/>
      <c r="W396" s="32"/>
      <c r="X396" s="8"/>
      <c r="Y396" s="32"/>
      <c r="Z396" s="8"/>
      <c r="AA396" s="8"/>
    </row>
    <row r="397" spans="1:27" s="52" customFormat="1" x14ac:dyDescent="0.25">
      <c r="A397" s="8"/>
      <c r="B397" s="9"/>
      <c r="C397" s="2"/>
      <c r="D397" s="11"/>
      <c r="E397" s="9"/>
      <c r="F397" s="10"/>
      <c r="G397" s="10"/>
      <c r="H397" s="33"/>
      <c r="I397" s="33"/>
      <c r="J397" s="33"/>
      <c r="K397" s="33"/>
      <c r="L397" s="33"/>
      <c r="M397" s="33"/>
      <c r="N397" s="33"/>
      <c r="O397" s="9"/>
      <c r="P397" s="9"/>
      <c r="Q397" s="8"/>
      <c r="R397" s="8"/>
      <c r="S397" s="12"/>
      <c r="T397" s="32"/>
      <c r="U397" s="32"/>
      <c r="V397" s="32"/>
      <c r="W397" s="32"/>
      <c r="X397" s="8"/>
      <c r="Y397" s="32"/>
      <c r="Z397" s="8"/>
      <c r="AA397" s="8"/>
    </row>
    <row r="398" spans="1:27" s="52" customFormat="1" x14ac:dyDescent="0.25">
      <c r="A398" s="8"/>
      <c r="B398" s="9"/>
      <c r="C398" s="2"/>
      <c r="D398" s="11"/>
      <c r="E398" s="9"/>
      <c r="F398" s="10"/>
      <c r="G398" s="10"/>
      <c r="H398" s="33"/>
      <c r="I398" s="33"/>
      <c r="J398" s="33"/>
      <c r="K398" s="33"/>
      <c r="L398" s="33"/>
      <c r="M398" s="33"/>
      <c r="N398" s="33"/>
      <c r="O398" s="9"/>
      <c r="P398" s="9"/>
      <c r="Q398" s="8"/>
      <c r="R398" s="8"/>
      <c r="S398" s="12"/>
      <c r="T398" s="32"/>
      <c r="U398" s="32"/>
      <c r="V398" s="32"/>
      <c r="W398" s="32"/>
      <c r="X398" s="8"/>
      <c r="Y398" s="32"/>
      <c r="Z398" s="8"/>
      <c r="AA398" s="8"/>
    </row>
    <row r="399" spans="1:27" s="52" customFormat="1" x14ac:dyDescent="0.25">
      <c r="A399" s="8"/>
      <c r="B399" s="9"/>
      <c r="C399" s="2"/>
      <c r="D399" s="11"/>
      <c r="E399" s="9"/>
      <c r="F399" s="10"/>
      <c r="G399" s="10"/>
      <c r="H399" s="33"/>
      <c r="I399" s="33"/>
      <c r="J399" s="33"/>
      <c r="K399" s="33"/>
      <c r="L399" s="33"/>
      <c r="M399" s="33"/>
      <c r="N399" s="33"/>
      <c r="O399" s="9"/>
      <c r="P399" s="9"/>
      <c r="Q399" s="8"/>
      <c r="R399" s="8"/>
      <c r="S399" s="12"/>
      <c r="T399" s="32"/>
      <c r="U399" s="32"/>
      <c r="V399" s="32"/>
      <c r="W399" s="32"/>
      <c r="X399" s="8"/>
      <c r="Y399" s="32"/>
      <c r="Z399" s="8"/>
      <c r="AA399" s="8"/>
    </row>
    <row r="400" spans="1:27" s="52" customFormat="1" x14ac:dyDescent="0.25">
      <c r="A400" s="8"/>
      <c r="B400" s="9"/>
      <c r="C400" s="2"/>
      <c r="D400" s="11"/>
      <c r="E400" s="9"/>
      <c r="F400" s="10"/>
      <c r="G400" s="10"/>
      <c r="H400" s="33"/>
      <c r="I400" s="33"/>
      <c r="J400" s="33"/>
      <c r="K400" s="33"/>
      <c r="L400" s="33"/>
      <c r="M400" s="33"/>
      <c r="N400" s="33"/>
      <c r="O400" s="9"/>
      <c r="P400" s="9"/>
      <c r="Q400" s="8"/>
      <c r="R400" s="8"/>
      <c r="S400" s="12"/>
      <c r="T400" s="32"/>
      <c r="U400" s="32"/>
      <c r="V400" s="32"/>
      <c r="W400" s="32"/>
      <c r="X400" s="8"/>
      <c r="Y400" s="32"/>
      <c r="Z400" s="8"/>
      <c r="AA400" s="8"/>
    </row>
    <row r="401" spans="1:27" s="52" customFormat="1" x14ac:dyDescent="0.25">
      <c r="A401" s="8"/>
      <c r="B401" s="9"/>
      <c r="C401" s="2"/>
      <c r="D401" s="11"/>
      <c r="E401" s="9"/>
      <c r="F401" s="10"/>
      <c r="G401" s="10"/>
      <c r="H401" s="33"/>
      <c r="I401" s="33"/>
      <c r="J401" s="33"/>
      <c r="K401" s="33"/>
      <c r="L401" s="33"/>
      <c r="M401" s="33"/>
      <c r="N401" s="33"/>
      <c r="O401" s="9"/>
      <c r="P401" s="9"/>
      <c r="Q401" s="8"/>
      <c r="R401" s="8"/>
      <c r="S401" s="12"/>
      <c r="T401" s="32"/>
      <c r="U401" s="32"/>
      <c r="V401" s="32"/>
      <c r="W401" s="32"/>
      <c r="X401" s="8"/>
      <c r="Y401" s="32"/>
      <c r="Z401" s="8"/>
      <c r="AA401" s="8"/>
    </row>
    <row r="402" spans="1:27" s="52" customFormat="1" x14ac:dyDescent="0.25">
      <c r="A402" s="8"/>
      <c r="B402" s="9"/>
      <c r="C402" s="2"/>
      <c r="D402" s="11"/>
      <c r="E402" s="9"/>
      <c r="F402" s="10"/>
      <c r="G402" s="10"/>
      <c r="H402" s="33"/>
      <c r="I402" s="33"/>
      <c r="J402" s="33"/>
      <c r="K402" s="33"/>
      <c r="L402" s="33"/>
      <c r="M402" s="33"/>
      <c r="N402" s="33"/>
      <c r="O402" s="9"/>
      <c r="P402" s="9"/>
      <c r="Q402" s="8"/>
      <c r="R402" s="8"/>
      <c r="S402" s="12"/>
      <c r="T402" s="32"/>
      <c r="U402" s="32"/>
      <c r="V402" s="32"/>
      <c r="W402" s="32"/>
      <c r="X402" s="8"/>
      <c r="Y402" s="32"/>
      <c r="Z402" s="8"/>
      <c r="AA402" s="8"/>
    </row>
    <row r="403" spans="1:27" s="52" customFormat="1" x14ac:dyDescent="0.25">
      <c r="A403" s="8"/>
      <c r="B403" s="9"/>
      <c r="C403" s="2"/>
      <c r="D403" s="11"/>
      <c r="E403" s="9"/>
      <c r="F403" s="10"/>
      <c r="G403" s="10"/>
      <c r="H403" s="33"/>
      <c r="I403" s="33"/>
      <c r="J403" s="33"/>
      <c r="K403" s="33"/>
      <c r="L403" s="33"/>
      <c r="M403" s="33"/>
      <c r="N403" s="33"/>
      <c r="O403" s="9"/>
      <c r="P403" s="9"/>
      <c r="Q403" s="8"/>
      <c r="R403" s="8"/>
      <c r="S403" s="12"/>
      <c r="T403" s="32"/>
      <c r="U403" s="32"/>
      <c r="V403" s="32"/>
      <c r="W403" s="32"/>
      <c r="X403" s="8"/>
      <c r="Y403" s="32"/>
      <c r="Z403" s="8"/>
      <c r="AA403" s="8"/>
    </row>
    <row r="404" spans="1:27" s="52" customFormat="1" x14ac:dyDescent="0.25">
      <c r="A404" s="8"/>
      <c r="B404" s="9"/>
      <c r="C404" s="2"/>
      <c r="D404" s="11"/>
      <c r="E404" s="9"/>
      <c r="F404" s="10"/>
      <c r="G404" s="10"/>
      <c r="H404" s="33"/>
      <c r="I404" s="33"/>
      <c r="J404" s="33"/>
      <c r="K404" s="33"/>
      <c r="L404" s="33"/>
      <c r="M404" s="33"/>
      <c r="N404" s="33"/>
      <c r="O404" s="9"/>
      <c r="P404" s="9"/>
      <c r="Q404" s="8"/>
      <c r="R404" s="8"/>
      <c r="S404" s="12"/>
      <c r="T404" s="32"/>
      <c r="U404" s="32"/>
      <c r="V404" s="32"/>
      <c r="W404" s="32"/>
      <c r="X404" s="8"/>
      <c r="Y404" s="32"/>
      <c r="Z404" s="8"/>
      <c r="AA404" s="8"/>
    </row>
    <row r="405" spans="1:27" s="52" customFormat="1" x14ac:dyDescent="0.25">
      <c r="A405" s="8"/>
      <c r="B405" s="9"/>
      <c r="C405" s="2"/>
      <c r="D405" s="11"/>
      <c r="E405" s="9"/>
      <c r="F405" s="10"/>
      <c r="G405" s="10"/>
      <c r="H405" s="33"/>
      <c r="I405" s="33"/>
      <c r="J405" s="33"/>
      <c r="K405" s="33"/>
      <c r="L405" s="33"/>
      <c r="M405" s="33"/>
      <c r="N405" s="33"/>
      <c r="O405" s="9"/>
      <c r="P405" s="9"/>
      <c r="Q405" s="8"/>
      <c r="R405" s="8"/>
      <c r="S405" s="12"/>
      <c r="T405" s="32"/>
      <c r="U405" s="32"/>
      <c r="V405" s="32"/>
      <c r="W405" s="32"/>
      <c r="X405" s="8"/>
      <c r="Y405" s="32"/>
      <c r="Z405" s="8"/>
      <c r="AA405" s="8"/>
    </row>
    <row r="406" spans="1:27" s="52" customFormat="1" x14ac:dyDescent="0.25">
      <c r="A406" s="8"/>
      <c r="B406" s="9"/>
      <c r="C406" s="2"/>
      <c r="D406" s="11"/>
      <c r="E406" s="9"/>
      <c r="F406" s="10"/>
      <c r="G406" s="10"/>
      <c r="H406" s="33"/>
      <c r="I406" s="33"/>
      <c r="J406" s="33"/>
      <c r="K406" s="33"/>
      <c r="L406" s="33"/>
      <c r="M406" s="33"/>
      <c r="N406" s="33"/>
      <c r="O406" s="9"/>
      <c r="P406" s="9"/>
      <c r="Q406" s="8"/>
      <c r="R406" s="8"/>
      <c r="S406" s="12"/>
      <c r="T406" s="32"/>
      <c r="U406" s="32"/>
      <c r="V406" s="32"/>
      <c r="W406" s="32"/>
      <c r="X406" s="8"/>
      <c r="Y406" s="32"/>
      <c r="Z406" s="8"/>
      <c r="AA406" s="8"/>
    </row>
    <row r="407" spans="1:27" s="52" customFormat="1" x14ac:dyDescent="0.25">
      <c r="A407" s="8"/>
      <c r="B407" s="9"/>
      <c r="C407" s="2"/>
      <c r="D407" s="11"/>
      <c r="E407" s="9"/>
      <c r="F407" s="10"/>
      <c r="G407" s="10"/>
      <c r="H407" s="33"/>
      <c r="I407" s="33"/>
      <c r="J407" s="33"/>
      <c r="K407" s="33"/>
      <c r="L407" s="33"/>
      <c r="M407" s="33"/>
      <c r="N407" s="33"/>
      <c r="O407" s="9"/>
      <c r="P407" s="9"/>
      <c r="Q407" s="8"/>
      <c r="R407" s="8"/>
      <c r="S407" s="12"/>
      <c r="T407" s="32"/>
      <c r="U407" s="32"/>
      <c r="V407" s="32"/>
      <c r="W407" s="32"/>
      <c r="X407" s="8"/>
      <c r="Y407" s="32"/>
      <c r="Z407" s="8"/>
      <c r="AA407" s="8"/>
    </row>
    <row r="408" spans="1:27" s="52" customFormat="1" x14ac:dyDescent="0.25">
      <c r="A408" s="8"/>
      <c r="B408" s="9"/>
      <c r="C408" s="2"/>
      <c r="D408" s="11"/>
      <c r="E408" s="9"/>
      <c r="F408" s="10"/>
      <c r="G408" s="10"/>
      <c r="H408" s="33"/>
      <c r="I408" s="33"/>
      <c r="J408" s="33"/>
      <c r="K408" s="33"/>
      <c r="L408" s="33"/>
      <c r="M408" s="33"/>
      <c r="N408" s="33"/>
      <c r="O408" s="9"/>
      <c r="P408" s="9"/>
      <c r="Q408" s="8"/>
      <c r="R408" s="8"/>
      <c r="S408" s="12"/>
      <c r="T408" s="32"/>
      <c r="U408" s="32"/>
      <c r="V408" s="32"/>
      <c r="W408" s="32"/>
      <c r="X408" s="8"/>
      <c r="Y408" s="32"/>
      <c r="Z408" s="8"/>
      <c r="AA408" s="8"/>
    </row>
    <row r="409" spans="1:27" s="52" customFormat="1" x14ac:dyDescent="0.25">
      <c r="A409" s="8"/>
      <c r="B409" s="9"/>
      <c r="C409" s="2"/>
      <c r="D409" s="11"/>
      <c r="E409" s="9"/>
      <c r="F409" s="10"/>
      <c r="G409" s="10"/>
      <c r="H409" s="33"/>
      <c r="I409" s="33"/>
      <c r="J409" s="33"/>
      <c r="K409" s="33"/>
      <c r="L409" s="33"/>
      <c r="M409" s="33"/>
      <c r="N409" s="33"/>
      <c r="O409" s="9"/>
      <c r="P409" s="9"/>
      <c r="Q409" s="8"/>
      <c r="R409" s="8"/>
      <c r="S409" s="12"/>
      <c r="T409" s="32"/>
      <c r="U409" s="32"/>
      <c r="V409" s="32"/>
      <c r="W409" s="32"/>
      <c r="X409" s="8"/>
      <c r="Y409" s="32"/>
      <c r="Z409" s="8"/>
      <c r="AA409" s="8"/>
    </row>
    <row r="410" spans="1:27" s="52" customFormat="1" x14ac:dyDescent="0.25">
      <c r="A410" s="8"/>
      <c r="B410" s="9"/>
      <c r="C410" s="2"/>
      <c r="D410" s="11"/>
      <c r="E410" s="9"/>
      <c r="F410" s="10"/>
      <c r="G410" s="10"/>
      <c r="H410" s="33"/>
      <c r="I410" s="33"/>
      <c r="J410" s="33"/>
      <c r="K410" s="33"/>
      <c r="L410" s="33"/>
      <c r="M410" s="33"/>
      <c r="N410" s="33"/>
      <c r="O410" s="9"/>
      <c r="P410" s="9"/>
      <c r="Q410" s="8"/>
      <c r="R410" s="8"/>
      <c r="S410" s="12"/>
      <c r="T410" s="32"/>
      <c r="U410" s="32"/>
      <c r="V410" s="32"/>
      <c r="W410" s="32"/>
      <c r="X410" s="8"/>
      <c r="Y410" s="32"/>
      <c r="Z410" s="8"/>
      <c r="AA410" s="8"/>
    </row>
    <row r="411" spans="1:27" s="52" customFormat="1" x14ac:dyDescent="0.25">
      <c r="A411" s="8"/>
      <c r="B411" s="9"/>
      <c r="C411" s="2"/>
      <c r="D411" s="11"/>
      <c r="E411" s="9"/>
      <c r="F411" s="10"/>
      <c r="G411" s="10"/>
      <c r="H411" s="33"/>
      <c r="I411" s="33"/>
      <c r="J411" s="33"/>
      <c r="K411" s="33"/>
      <c r="L411" s="33"/>
      <c r="M411" s="33"/>
      <c r="N411" s="33"/>
      <c r="O411" s="9"/>
      <c r="P411" s="9"/>
      <c r="Q411" s="8"/>
      <c r="R411" s="8"/>
      <c r="S411" s="12"/>
      <c r="T411" s="32"/>
      <c r="U411" s="32"/>
      <c r="V411" s="32"/>
      <c r="W411" s="32"/>
      <c r="X411" s="8"/>
      <c r="Y411" s="32"/>
      <c r="Z411" s="8"/>
      <c r="AA411" s="8"/>
    </row>
    <row r="412" spans="1:27" s="52" customFormat="1" x14ac:dyDescent="0.25">
      <c r="A412" s="8"/>
      <c r="B412" s="9"/>
      <c r="C412" s="2"/>
      <c r="D412" s="11"/>
      <c r="E412" s="9"/>
      <c r="F412" s="10"/>
      <c r="G412" s="10"/>
      <c r="H412" s="33"/>
      <c r="I412" s="33"/>
      <c r="J412" s="33"/>
      <c r="K412" s="33"/>
      <c r="L412" s="33"/>
      <c r="M412" s="33"/>
      <c r="N412" s="33"/>
      <c r="O412" s="9"/>
      <c r="P412" s="9"/>
      <c r="Q412" s="8"/>
      <c r="R412" s="8"/>
      <c r="S412" s="12"/>
      <c r="T412" s="32"/>
      <c r="U412" s="32"/>
      <c r="V412" s="32"/>
      <c r="W412" s="32"/>
      <c r="X412" s="8"/>
      <c r="Y412" s="32"/>
      <c r="Z412" s="8"/>
      <c r="AA412" s="8"/>
    </row>
    <row r="413" spans="1:27" s="52" customFormat="1" x14ac:dyDescent="0.25">
      <c r="A413" s="8"/>
      <c r="B413" s="9"/>
      <c r="C413" s="2"/>
      <c r="D413" s="11"/>
      <c r="E413" s="9"/>
      <c r="F413" s="10"/>
      <c r="G413" s="10"/>
      <c r="H413" s="33"/>
      <c r="I413" s="33"/>
      <c r="J413" s="33"/>
      <c r="K413" s="33"/>
      <c r="L413" s="33"/>
      <c r="M413" s="33"/>
      <c r="N413" s="33"/>
      <c r="O413" s="9"/>
      <c r="P413" s="9"/>
      <c r="Q413" s="8"/>
      <c r="R413" s="8"/>
      <c r="S413" s="12"/>
      <c r="T413" s="32"/>
      <c r="U413" s="32"/>
      <c r="V413" s="32"/>
      <c r="W413" s="32"/>
      <c r="X413" s="8"/>
      <c r="Y413" s="32"/>
      <c r="Z413" s="8"/>
      <c r="AA413" s="8"/>
    </row>
    <row r="414" spans="1:27" s="52" customFormat="1" x14ac:dyDescent="0.25">
      <c r="A414" s="8"/>
      <c r="B414" s="9"/>
      <c r="C414" s="2"/>
      <c r="D414" s="11"/>
      <c r="E414" s="9"/>
      <c r="F414" s="10"/>
      <c r="G414" s="10"/>
      <c r="H414" s="33"/>
      <c r="I414" s="33"/>
      <c r="J414" s="33"/>
      <c r="K414" s="33"/>
      <c r="L414" s="33"/>
      <c r="M414" s="33"/>
      <c r="N414" s="33"/>
      <c r="O414" s="9"/>
      <c r="P414" s="9"/>
      <c r="Q414" s="8"/>
      <c r="R414" s="8"/>
      <c r="S414" s="12"/>
      <c r="T414" s="32"/>
      <c r="U414" s="32"/>
      <c r="V414" s="32"/>
      <c r="W414" s="32"/>
      <c r="X414" s="8"/>
      <c r="Y414" s="32"/>
      <c r="Z414" s="8"/>
      <c r="AA414" s="8"/>
    </row>
    <row r="415" spans="1:27" s="52" customFormat="1" x14ac:dyDescent="0.25">
      <c r="A415" s="8"/>
      <c r="B415" s="9"/>
      <c r="C415" s="2"/>
      <c r="D415" s="11"/>
      <c r="E415" s="9"/>
      <c r="F415" s="10"/>
      <c r="G415" s="10"/>
      <c r="H415" s="33"/>
      <c r="I415" s="33"/>
      <c r="J415" s="33"/>
      <c r="K415" s="33"/>
      <c r="L415" s="33"/>
      <c r="M415" s="33"/>
      <c r="N415" s="33"/>
      <c r="O415" s="9"/>
      <c r="P415" s="9"/>
      <c r="Q415" s="8"/>
      <c r="R415" s="8"/>
      <c r="S415" s="12"/>
      <c r="T415" s="32"/>
      <c r="U415" s="32"/>
      <c r="V415" s="32"/>
      <c r="W415" s="32"/>
      <c r="X415" s="8"/>
      <c r="Y415" s="32"/>
      <c r="Z415" s="8"/>
      <c r="AA415" s="8"/>
    </row>
    <row r="416" spans="1:27" s="52" customFormat="1" x14ac:dyDescent="0.25">
      <c r="A416" s="8"/>
      <c r="B416" s="9"/>
      <c r="C416" s="2"/>
      <c r="D416" s="11"/>
      <c r="E416" s="9"/>
      <c r="F416" s="10"/>
      <c r="G416" s="10"/>
      <c r="H416" s="33"/>
      <c r="I416" s="33"/>
      <c r="J416" s="33"/>
      <c r="K416" s="33"/>
      <c r="L416" s="33"/>
      <c r="M416" s="33"/>
      <c r="N416" s="33"/>
      <c r="O416" s="9"/>
      <c r="P416" s="9"/>
      <c r="Q416" s="8"/>
      <c r="R416" s="8"/>
      <c r="S416" s="12"/>
      <c r="T416" s="32"/>
      <c r="U416" s="32"/>
      <c r="V416" s="32"/>
      <c r="W416" s="32"/>
      <c r="X416" s="8"/>
      <c r="Y416" s="32"/>
      <c r="Z416" s="8"/>
      <c r="AA416" s="8"/>
    </row>
    <row r="417" spans="1:27" s="52" customFormat="1" x14ac:dyDescent="0.25">
      <c r="A417" s="8"/>
      <c r="B417" s="9"/>
      <c r="C417" s="2"/>
      <c r="D417" s="11"/>
      <c r="E417" s="9"/>
      <c r="F417" s="10"/>
      <c r="G417" s="10"/>
      <c r="H417" s="33"/>
      <c r="I417" s="33"/>
      <c r="J417" s="33"/>
      <c r="K417" s="33"/>
      <c r="L417" s="33"/>
      <c r="M417" s="33"/>
      <c r="N417" s="33"/>
      <c r="O417" s="9"/>
      <c r="P417" s="9"/>
      <c r="Q417" s="8"/>
      <c r="R417" s="8"/>
      <c r="S417" s="12"/>
      <c r="T417" s="32"/>
      <c r="U417" s="32"/>
      <c r="V417" s="32"/>
      <c r="W417" s="32"/>
      <c r="X417" s="8"/>
      <c r="Y417" s="32"/>
      <c r="Z417" s="8"/>
      <c r="AA417" s="8"/>
    </row>
    <row r="418" spans="1:27" s="52" customFormat="1" x14ac:dyDescent="0.25">
      <c r="A418" s="8"/>
      <c r="B418" s="9"/>
      <c r="C418" s="2"/>
      <c r="D418" s="11"/>
      <c r="E418" s="9"/>
      <c r="F418" s="10"/>
      <c r="G418" s="10"/>
      <c r="H418" s="33"/>
      <c r="I418" s="33"/>
      <c r="J418" s="33"/>
      <c r="K418" s="33"/>
      <c r="L418" s="33"/>
      <c r="M418" s="33"/>
      <c r="N418" s="33"/>
      <c r="O418" s="9"/>
      <c r="P418" s="9"/>
      <c r="Q418" s="8"/>
      <c r="R418" s="8"/>
      <c r="S418" s="12"/>
      <c r="T418" s="32"/>
      <c r="U418" s="32"/>
      <c r="V418" s="32"/>
      <c r="W418" s="32"/>
      <c r="X418" s="8"/>
      <c r="Y418" s="32"/>
      <c r="Z418" s="8"/>
      <c r="AA418" s="8"/>
    </row>
    <row r="419" spans="1:27" s="52" customFormat="1" x14ac:dyDescent="0.25">
      <c r="A419" s="8"/>
      <c r="B419" s="9"/>
      <c r="C419" s="2"/>
      <c r="D419" s="11"/>
      <c r="E419" s="9"/>
      <c r="F419" s="10"/>
      <c r="G419" s="10"/>
      <c r="H419" s="33"/>
      <c r="I419" s="33"/>
      <c r="J419" s="33"/>
      <c r="K419" s="33"/>
      <c r="L419" s="33"/>
      <c r="M419" s="33"/>
      <c r="N419" s="33"/>
      <c r="O419" s="9"/>
      <c r="P419" s="9"/>
      <c r="Q419" s="8"/>
      <c r="R419" s="8"/>
      <c r="S419" s="12"/>
      <c r="T419" s="32"/>
      <c r="U419" s="32"/>
      <c r="V419" s="32"/>
      <c r="W419" s="32"/>
      <c r="X419" s="8"/>
      <c r="Y419" s="32"/>
      <c r="Z419" s="8"/>
      <c r="AA419" s="8"/>
    </row>
    <row r="420" spans="1:27" s="52" customFormat="1" x14ac:dyDescent="0.25">
      <c r="A420" s="8"/>
      <c r="B420" s="9"/>
      <c r="C420" s="2"/>
      <c r="D420" s="11"/>
      <c r="E420" s="9"/>
      <c r="F420" s="10"/>
      <c r="G420" s="10"/>
      <c r="H420" s="33"/>
      <c r="I420" s="33"/>
      <c r="J420" s="33"/>
      <c r="K420" s="33"/>
      <c r="L420" s="33"/>
      <c r="M420" s="33"/>
      <c r="N420" s="33"/>
      <c r="O420" s="9"/>
      <c r="P420" s="9"/>
      <c r="Q420" s="8"/>
      <c r="R420" s="8"/>
      <c r="S420" s="12"/>
      <c r="T420" s="32"/>
      <c r="U420" s="32"/>
      <c r="V420" s="32"/>
      <c r="W420" s="32"/>
      <c r="X420" s="8"/>
      <c r="Y420" s="32"/>
      <c r="Z420" s="8"/>
      <c r="AA420" s="8"/>
    </row>
    <row r="421" spans="1:27" s="52" customFormat="1" x14ac:dyDescent="0.25">
      <c r="A421" s="8"/>
      <c r="B421" s="9"/>
      <c r="C421" s="2"/>
      <c r="D421" s="11"/>
      <c r="E421" s="9"/>
      <c r="F421" s="10"/>
      <c r="G421" s="10"/>
      <c r="H421" s="33"/>
      <c r="I421" s="33"/>
      <c r="J421" s="33"/>
      <c r="K421" s="33"/>
      <c r="L421" s="33"/>
      <c r="M421" s="33"/>
      <c r="N421" s="33"/>
      <c r="O421" s="9"/>
      <c r="P421" s="9"/>
      <c r="Q421" s="8"/>
      <c r="R421" s="8"/>
      <c r="S421" s="12"/>
      <c r="T421" s="32"/>
      <c r="U421" s="32"/>
      <c r="V421" s="32"/>
      <c r="W421" s="32"/>
      <c r="X421" s="8"/>
      <c r="Y421" s="32"/>
      <c r="Z421" s="8"/>
      <c r="AA421" s="8"/>
    </row>
    <row r="422" spans="1:27" s="52" customFormat="1" x14ac:dyDescent="0.25">
      <c r="A422" s="8"/>
      <c r="B422" s="9"/>
      <c r="C422" s="2"/>
      <c r="D422" s="11"/>
      <c r="E422" s="9"/>
      <c r="F422" s="10"/>
      <c r="G422" s="10"/>
      <c r="H422" s="33"/>
      <c r="I422" s="33"/>
      <c r="J422" s="33"/>
      <c r="K422" s="33"/>
      <c r="L422" s="33"/>
      <c r="M422" s="33"/>
      <c r="N422" s="33"/>
      <c r="O422" s="9"/>
      <c r="P422" s="9"/>
      <c r="Q422" s="8"/>
      <c r="R422" s="8"/>
      <c r="S422" s="12"/>
      <c r="T422" s="32"/>
      <c r="U422" s="32"/>
      <c r="V422" s="32"/>
      <c r="W422" s="32"/>
      <c r="X422" s="8"/>
      <c r="Y422" s="32"/>
      <c r="Z422" s="8"/>
      <c r="AA422" s="8"/>
    </row>
    <row r="423" spans="1:27" s="52" customFormat="1" x14ac:dyDescent="0.25">
      <c r="A423" s="8"/>
      <c r="B423" s="9"/>
      <c r="C423" s="2"/>
      <c r="D423" s="11"/>
      <c r="E423" s="9"/>
      <c r="F423" s="10"/>
      <c r="G423" s="10"/>
      <c r="H423" s="33"/>
      <c r="I423" s="33"/>
      <c r="J423" s="33"/>
      <c r="K423" s="33"/>
      <c r="L423" s="33"/>
      <c r="M423" s="33"/>
      <c r="N423" s="33"/>
      <c r="O423" s="9"/>
      <c r="P423" s="9"/>
      <c r="Q423" s="8"/>
      <c r="R423" s="8"/>
      <c r="S423" s="12"/>
      <c r="T423" s="32"/>
      <c r="U423" s="32"/>
      <c r="V423" s="32"/>
      <c r="W423" s="32"/>
      <c r="X423" s="8"/>
      <c r="Y423" s="32"/>
      <c r="Z423" s="8"/>
      <c r="AA423" s="8"/>
    </row>
    <row r="424" spans="1:27" s="52" customFormat="1" x14ac:dyDescent="0.25">
      <c r="A424" s="8"/>
      <c r="B424" s="9"/>
      <c r="C424" s="2"/>
      <c r="D424" s="11"/>
      <c r="E424" s="9"/>
      <c r="F424" s="10"/>
      <c r="G424" s="10"/>
      <c r="H424" s="33"/>
      <c r="I424" s="33"/>
      <c r="J424" s="33"/>
      <c r="K424" s="33"/>
      <c r="L424" s="33"/>
      <c r="M424" s="33"/>
      <c r="N424" s="33"/>
      <c r="O424" s="9"/>
      <c r="P424" s="9"/>
      <c r="Q424" s="8"/>
      <c r="R424" s="8"/>
      <c r="S424" s="12"/>
      <c r="T424" s="32"/>
      <c r="U424" s="32"/>
      <c r="V424" s="32"/>
      <c r="W424" s="32"/>
      <c r="X424" s="8"/>
      <c r="Y424" s="32"/>
      <c r="Z424" s="8"/>
      <c r="AA424" s="8"/>
    </row>
    <row r="425" spans="1:27" s="52" customFormat="1" x14ac:dyDescent="0.25">
      <c r="A425" s="8"/>
      <c r="B425" s="9"/>
      <c r="C425" s="2"/>
      <c r="D425" s="11"/>
      <c r="E425" s="9"/>
      <c r="F425" s="10"/>
      <c r="G425" s="10"/>
      <c r="H425" s="33"/>
      <c r="I425" s="33"/>
      <c r="J425" s="33"/>
      <c r="K425" s="33"/>
      <c r="L425" s="33"/>
      <c r="M425" s="33"/>
      <c r="N425" s="33"/>
      <c r="O425" s="9"/>
      <c r="P425" s="9"/>
      <c r="Q425" s="8"/>
      <c r="R425" s="8"/>
      <c r="S425" s="12"/>
      <c r="T425" s="32"/>
      <c r="U425" s="32"/>
      <c r="V425" s="32"/>
      <c r="W425" s="32"/>
      <c r="X425" s="8"/>
      <c r="Y425" s="32"/>
      <c r="Z425" s="8"/>
      <c r="AA425" s="8"/>
    </row>
    <row r="426" spans="1:27" s="52" customFormat="1" x14ac:dyDescent="0.25">
      <c r="A426" s="8"/>
      <c r="B426" s="9"/>
      <c r="C426" s="2"/>
      <c r="D426" s="11"/>
      <c r="E426" s="9"/>
      <c r="F426" s="10"/>
      <c r="G426" s="10"/>
      <c r="H426" s="33"/>
      <c r="I426" s="33"/>
      <c r="J426" s="33"/>
      <c r="K426" s="33"/>
      <c r="L426" s="33"/>
      <c r="M426" s="33"/>
      <c r="N426" s="33"/>
      <c r="O426" s="9"/>
      <c r="P426" s="9"/>
      <c r="Q426" s="8"/>
      <c r="R426" s="8"/>
      <c r="S426" s="12"/>
      <c r="T426" s="32"/>
      <c r="U426" s="32"/>
      <c r="V426" s="32"/>
      <c r="W426" s="32"/>
      <c r="X426" s="8"/>
      <c r="Y426" s="32"/>
      <c r="Z426" s="8"/>
      <c r="AA426" s="8"/>
    </row>
    <row r="427" spans="1:27" s="52" customFormat="1" x14ac:dyDescent="0.25">
      <c r="A427" s="8"/>
      <c r="B427" s="9"/>
      <c r="C427" s="2"/>
      <c r="D427" s="11"/>
      <c r="E427" s="9"/>
      <c r="F427" s="10"/>
      <c r="G427" s="10"/>
      <c r="H427" s="33"/>
      <c r="I427" s="33"/>
      <c r="J427" s="33"/>
      <c r="K427" s="33"/>
      <c r="L427" s="33"/>
      <c r="M427" s="33"/>
      <c r="N427" s="33"/>
      <c r="O427" s="9"/>
      <c r="P427" s="9"/>
      <c r="Q427" s="8"/>
      <c r="R427" s="8"/>
      <c r="S427" s="12"/>
      <c r="T427" s="32"/>
      <c r="U427" s="32"/>
      <c r="V427" s="32"/>
      <c r="W427" s="32"/>
      <c r="X427" s="8"/>
      <c r="Y427" s="32"/>
      <c r="Z427" s="8"/>
      <c r="AA427" s="8"/>
    </row>
    <row r="428" spans="1:27" s="52" customFormat="1" x14ac:dyDescent="0.25">
      <c r="A428" s="8"/>
      <c r="B428" s="9"/>
      <c r="C428" s="2"/>
      <c r="D428" s="11"/>
      <c r="E428" s="9"/>
      <c r="F428" s="10"/>
      <c r="G428" s="10"/>
      <c r="H428" s="33"/>
      <c r="I428" s="33"/>
      <c r="J428" s="33"/>
      <c r="K428" s="33"/>
      <c r="L428" s="33"/>
      <c r="M428" s="33"/>
      <c r="N428" s="33"/>
      <c r="O428" s="9"/>
      <c r="P428" s="9"/>
      <c r="Q428" s="8"/>
      <c r="R428" s="8"/>
      <c r="S428" s="12"/>
      <c r="T428" s="32"/>
      <c r="U428" s="32"/>
      <c r="V428" s="32"/>
      <c r="W428" s="32"/>
      <c r="X428" s="8"/>
      <c r="Y428" s="32"/>
      <c r="Z428" s="8"/>
      <c r="AA428" s="8"/>
    </row>
    <row r="429" spans="1:27" s="52" customFormat="1" x14ac:dyDescent="0.25">
      <c r="A429" s="8"/>
      <c r="B429" s="9"/>
      <c r="C429" s="2"/>
      <c r="D429" s="11"/>
      <c r="E429" s="9"/>
      <c r="F429" s="10"/>
      <c r="G429" s="10"/>
      <c r="H429" s="33"/>
      <c r="I429" s="33"/>
      <c r="J429" s="33"/>
      <c r="K429" s="33"/>
      <c r="L429" s="33"/>
      <c r="M429" s="33"/>
      <c r="N429" s="33"/>
      <c r="O429" s="9"/>
      <c r="P429" s="9"/>
      <c r="Q429" s="8"/>
      <c r="R429" s="8"/>
      <c r="S429" s="12"/>
      <c r="T429" s="32"/>
      <c r="U429" s="32"/>
      <c r="V429" s="32"/>
      <c r="W429" s="32"/>
      <c r="X429" s="8"/>
      <c r="Y429" s="32"/>
      <c r="Z429" s="8"/>
      <c r="AA429" s="8"/>
    </row>
    <row r="430" spans="1:27" s="52" customFormat="1" x14ac:dyDescent="0.25">
      <c r="A430" s="8"/>
      <c r="B430" s="9"/>
      <c r="C430" s="2"/>
      <c r="D430" s="11"/>
      <c r="E430" s="9"/>
      <c r="F430" s="10"/>
      <c r="G430" s="10"/>
      <c r="H430" s="33"/>
      <c r="I430" s="33"/>
      <c r="J430" s="33"/>
      <c r="K430" s="33"/>
      <c r="L430" s="33"/>
      <c r="M430" s="33"/>
      <c r="N430" s="33"/>
      <c r="O430" s="9"/>
      <c r="P430" s="9"/>
      <c r="Q430" s="8"/>
      <c r="R430" s="8"/>
      <c r="S430" s="12"/>
      <c r="T430" s="32"/>
      <c r="U430" s="32"/>
      <c r="V430" s="32"/>
      <c r="W430" s="32"/>
      <c r="X430" s="8"/>
      <c r="Y430" s="32"/>
      <c r="Z430" s="8"/>
      <c r="AA430" s="8"/>
    </row>
    <row r="431" spans="1:27" s="52" customFormat="1" x14ac:dyDescent="0.25">
      <c r="A431" s="8"/>
      <c r="B431" s="9"/>
      <c r="C431" s="2"/>
      <c r="D431" s="11"/>
      <c r="E431" s="9"/>
      <c r="F431" s="10"/>
      <c r="G431" s="10"/>
      <c r="H431" s="33"/>
      <c r="I431" s="33"/>
      <c r="J431" s="33"/>
      <c r="K431" s="33"/>
      <c r="L431" s="33"/>
      <c r="M431" s="33"/>
      <c r="N431" s="33"/>
      <c r="O431" s="9"/>
      <c r="P431" s="9"/>
      <c r="Q431" s="8"/>
      <c r="R431" s="8"/>
      <c r="S431" s="12"/>
      <c r="T431" s="32"/>
      <c r="U431" s="32"/>
      <c r="V431" s="32"/>
      <c r="W431" s="32"/>
      <c r="X431" s="8"/>
      <c r="Y431" s="32"/>
      <c r="Z431" s="8"/>
      <c r="AA431" s="8"/>
    </row>
    <row r="432" spans="1:27" s="52" customFormat="1" x14ac:dyDescent="0.25">
      <c r="A432" s="8"/>
      <c r="B432" s="9"/>
      <c r="C432" s="2"/>
      <c r="D432" s="11"/>
      <c r="E432" s="9"/>
      <c r="F432" s="10"/>
      <c r="G432" s="10"/>
      <c r="H432" s="33"/>
      <c r="I432" s="33"/>
      <c r="J432" s="33"/>
      <c r="K432" s="33"/>
      <c r="L432" s="33"/>
      <c r="M432" s="33"/>
      <c r="N432" s="33"/>
      <c r="O432" s="9"/>
      <c r="P432" s="9"/>
      <c r="Q432" s="8"/>
      <c r="R432" s="8"/>
      <c r="S432" s="12"/>
      <c r="T432" s="32"/>
      <c r="U432" s="32"/>
      <c r="V432" s="32"/>
      <c r="W432" s="32"/>
      <c r="X432" s="8"/>
      <c r="Y432" s="32"/>
      <c r="Z432" s="8"/>
      <c r="AA432" s="8"/>
    </row>
    <row r="433" spans="1:27" s="52" customFormat="1" x14ac:dyDescent="0.25">
      <c r="A433" s="8"/>
      <c r="B433" s="9"/>
      <c r="C433" s="2"/>
      <c r="D433" s="11"/>
      <c r="E433" s="9"/>
      <c r="F433" s="10"/>
      <c r="G433" s="10"/>
      <c r="H433" s="33"/>
      <c r="I433" s="33"/>
      <c r="J433" s="33"/>
      <c r="K433" s="33"/>
      <c r="L433" s="33"/>
      <c r="M433" s="33"/>
      <c r="N433" s="33"/>
      <c r="O433" s="9"/>
      <c r="P433" s="9"/>
      <c r="Q433" s="8"/>
      <c r="R433" s="8"/>
      <c r="S433" s="12"/>
      <c r="T433" s="32"/>
      <c r="U433" s="32"/>
      <c r="V433" s="32"/>
      <c r="W433" s="32"/>
      <c r="X433" s="8"/>
      <c r="Y433" s="32"/>
      <c r="Z433" s="8"/>
      <c r="AA433" s="8"/>
    </row>
    <row r="434" spans="1:27" s="52" customFormat="1" x14ac:dyDescent="0.25">
      <c r="A434" s="8"/>
      <c r="B434" s="9"/>
      <c r="C434" s="2"/>
      <c r="D434" s="11"/>
      <c r="E434" s="9"/>
      <c r="F434" s="10"/>
      <c r="G434" s="10"/>
      <c r="H434" s="33"/>
      <c r="I434" s="33"/>
      <c r="J434" s="33"/>
      <c r="K434" s="33"/>
      <c r="L434" s="33"/>
      <c r="M434" s="33"/>
      <c r="N434" s="33"/>
      <c r="O434" s="9"/>
      <c r="P434" s="9"/>
      <c r="Q434" s="8"/>
      <c r="R434" s="8"/>
      <c r="S434" s="12"/>
      <c r="T434" s="32"/>
      <c r="U434" s="32"/>
      <c r="V434" s="32"/>
      <c r="W434" s="32"/>
      <c r="X434" s="8"/>
      <c r="Y434" s="32"/>
      <c r="Z434" s="8"/>
      <c r="AA434" s="8"/>
    </row>
    <row r="435" spans="1:27" s="52" customFormat="1" x14ac:dyDescent="0.25">
      <c r="A435" s="8"/>
      <c r="B435" s="9"/>
      <c r="C435" s="2"/>
      <c r="D435" s="11"/>
      <c r="E435" s="9"/>
      <c r="F435" s="10"/>
      <c r="G435" s="10"/>
      <c r="H435" s="33"/>
      <c r="I435" s="33"/>
      <c r="J435" s="33"/>
      <c r="K435" s="33"/>
      <c r="L435" s="33"/>
      <c r="M435" s="33"/>
      <c r="N435" s="33"/>
      <c r="O435" s="9"/>
      <c r="P435" s="9"/>
      <c r="Q435" s="8"/>
      <c r="R435" s="8"/>
      <c r="S435" s="12"/>
      <c r="T435" s="32"/>
      <c r="U435" s="32"/>
      <c r="V435" s="32"/>
      <c r="W435" s="32"/>
      <c r="X435" s="8"/>
      <c r="Y435" s="32"/>
      <c r="Z435" s="8"/>
      <c r="AA435" s="8"/>
    </row>
    <row r="436" spans="1:27" s="52" customFormat="1" x14ac:dyDescent="0.25">
      <c r="A436" s="8"/>
      <c r="B436" s="9"/>
      <c r="C436" s="2"/>
      <c r="D436" s="11"/>
      <c r="E436" s="9"/>
      <c r="F436" s="10"/>
      <c r="G436" s="10"/>
      <c r="H436" s="33"/>
      <c r="I436" s="33"/>
      <c r="J436" s="33"/>
      <c r="K436" s="33"/>
      <c r="L436" s="33"/>
      <c r="M436" s="33"/>
      <c r="N436" s="33"/>
      <c r="O436" s="9"/>
      <c r="P436" s="9"/>
      <c r="Q436" s="8"/>
      <c r="R436" s="8"/>
      <c r="S436" s="12"/>
      <c r="T436" s="32"/>
      <c r="U436" s="32"/>
      <c r="V436" s="32"/>
      <c r="W436" s="32"/>
      <c r="X436" s="8"/>
      <c r="Y436" s="32"/>
      <c r="Z436" s="8"/>
      <c r="AA436" s="8"/>
    </row>
    <row r="437" spans="1:27" s="52" customFormat="1" x14ac:dyDescent="0.25">
      <c r="A437" s="8"/>
      <c r="B437" s="9"/>
      <c r="C437" s="2"/>
      <c r="D437" s="11"/>
      <c r="E437" s="9"/>
      <c r="F437" s="10"/>
      <c r="G437" s="10"/>
      <c r="H437" s="33"/>
      <c r="I437" s="33"/>
      <c r="J437" s="33"/>
      <c r="K437" s="33"/>
      <c r="L437" s="33"/>
      <c r="M437" s="33"/>
      <c r="N437" s="33"/>
      <c r="O437" s="9"/>
      <c r="P437" s="9"/>
      <c r="Q437" s="8"/>
      <c r="R437" s="8"/>
      <c r="S437" s="12"/>
      <c r="T437" s="32"/>
      <c r="U437" s="32"/>
      <c r="V437" s="32"/>
      <c r="W437" s="32"/>
      <c r="X437" s="8"/>
      <c r="Y437" s="32"/>
      <c r="Z437" s="8"/>
      <c r="AA437" s="8"/>
    </row>
    <row r="438" spans="1:27" s="52" customFormat="1" x14ac:dyDescent="0.25">
      <c r="A438" s="8"/>
      <c r="B438" s="9"/>
      <c r="C438" s="2"/>
      <c r="D438" s="11"/>
      <c r="E438" s="9"/>
      <c r="F438" s="10"/>
      <c r="G438" s="10"/>
      <c r="H438" s="33"/>
      <c r="I438" s="33"/>
      <c r="J438" s="33"/>
      <c r="K438" s="33"/>
      <c r="L438" s="33"/>
      <c r="M438" s="33"/>
      <c r="N438" s="33"/>
      <c r="O438" s="9"/>
      <c r="P438" s="9"/>
      <c r="Q438" s="8"/>
      <c r="R438" s="8"/>
      <c r="S438" s="12"/>
      <c r="T438" s="32"/>
      <c r="U438" s="32"/>
      <c r="V438" s="32"/>
      <c r="W438" s="32"/>
      <c r="X438" s="8"/>
      <c r="Y438" s="32"/>
      <c r="Z438" s="8"/>
      <c r="AA438" s="8"/>
    </row>
    <row r="439" spans="1:27" s="52" customFormat="1" x14ac:dyDescent="0.25">
      <c r="A439" s="8"/>
      <c r="B439" s="9"/>
      <c r="C439" s="2"/>
      <c r="D439" s="11"/>
      <c r="E439" s="9"/>
      <c r="F439" s="10"/>
      <c r="G439" s="10"/>
      <c r="H439" s="33"/>
      <c r="I439" s="33"/>
      <c r="J439" s="33"/>
      <c r="K439" s="33"/>
      <c r="L439" s="33"/>
      <c r="M439" s="33"/>
      <c r="N439" s="33"/>
      <c r="O439" s="9"/>
      <c r="P439" s="9"/>
      <c r="Q439" s="8"/>
      <c r="R439" s="8"/>
      <c r="S439" s="12"/>
      <c r="T439" s="32"/>
      <c r="U439" s="32"/>
      <c r="V439" s="32"/>
      <c r="W439" s="32"/>
      <c r="X439" s="8"/>
      <c r="Y439" s="32"/>
      <c r="Z439" s="8"/>
      <c r="AA439" s="8"/>
    </row>
    <row r="440" spans="1:27" s="52" customFormat="1" x14ac:dyDescent="0.25">
      <c r="A440" s="8"/>
      <c r="B440" s="9"/>
      <c r="C440" s="2"/>
      <c r="D440" s="11"/>
      <c r="E440" s="9"/>
      <c r="F440" s="10"/>
      <c r="G440" s="10"/>
      <c r="H440" s="33"/>
      <c r="I440" s="33"/>
      <c r="J440" s="33"/>
      <c r="K440" s="33"/>
      <c r="L440" s="33"/>
      <c r="M440" s="33"/>
      <c r="N440" s="33"/>
      <c r="O440" s="9"/>
      <c r="P440" s="9"/>
      <c r="Q440" s="8"/>
      <c r="R440" s="8"/>
      <c r="S440" s="12"/>
      <c r="T440" s="32"/>
      <c r="U440" s="32"/>
      <c r="V440" s="32"/>
      <c r="W440" s="32"/>
      <c r="X440" s="8"/>
      <c r="Y440" s="32"/>
      <c r="Z440" s="8"/>
      <c r="AA440" s="8"/>
    </row>
    <row r="441" spans="1:27" s="52" customFormat="1" x14ac:dyDescent="0.25">
      <c r="A441" s="8"/>
      <c r="B441" s="9"/>
      <c r="C441" s="2"/>
      <c r="D441" s="11"/>
      <c r="E441" s="9"/>
      <c r="F441" s="10"/>
      <c r="G441" s="10"/>
      <c r="H441" s="33"/>
      <c r="I441" s="33"/>
      <c r="J441" s="33"/>
      <c r="K441" s="33"/>
      <c r="L441" s="33"/>
      <c r="M441" s="33"/>
      <c r="N441" s="33"/>
      <c r="O441" s="9"/>
      <c r="P441" s="9"/>
      <c r="Q441" s="8"/>
      <c r="R441" s="8"/>
      <c r="S441" s="12"/>
      <c r="T441" s="32"/>
      <c r="U441" s="32"/>
      <c r="V441" s="32"/>
      <c r="W441" s="32"/>
      <c r="X441" s="8"/>
      <c r="Y441" s="32"/>
      <c r="Z441" s="8"/>
      <c r="AA441" s="8"/>
    </row>
    <row r="442" spans="1:27" s="52" customFormat="1" x14ac:dyDescent="0.25">
      <c r="A442" s="8"/>
      <c r="B442" s="9"/>
      <c r="C442" s="2"/>
      <c r="D442" s="11"/>
      <c r="E442" s="9"/>
      <c r="F442" s="10"/>
      <c r="G442" s="10"/>
      <c r="H442" s="33"/>
      <c r="I442" s="33"/>
      <c r="J442" s="33"/>
      <c r="K442" s="33"/>
      <c r="L442" s="33"/>
      <c r="M442" s="33"/>
      <c r="N442" s="33"/>
      <c r="O442" s="9"/>
      <c r="P442" s="9"/>
      <c r="Q442" s="8"/>
      <c r="R442" s="8"/>
      <c r="S442" s="12"/>
      <c r="T442" s="32"/>
      <c r="U442" s="32"/>
      <c r="V442" s="32"/>
      <c r="W442" s="32"/>
      <c r="X442" s="8"/>
      <c r="Y442" s="32"/>
      <c r="Z442" s="8"/>
      <c r="AA442" s="8"/>
    </row>
    <row r="443" spans="1:27" s="52" customFormat="1" x14ac:dyDescent="0.25">
      <c r="A443" s="8"/>
      <c r="B443" s="9"/>
      <c r="C443" s="2"/>
      <c r="D443" s="11"/>
      <c r="E443" s="9"/>
      <c r="F443" s="10"/>
      <c r="G443" s="10"/>
      <c r="H443" s="33"/>
      <c r="I443" s="33"/>
      <c r="J443" s="33"/>
      <c r="K443" s="33"/>
      <c r="L443" s="33"/>
      <c r="M443" s="33"/>
      <c r="N443" s="33"/>
      <c r="O443" s="9"/>
      <c r="P443" s="9"/>
      <c r="Q443" s="8"/>
      <c r="R443" s="8"/>
      <c r="S443" s="12"/>
      <c r="T443" s="32"/>
      <c r="U443" s="32"/>
      <c r="V443" s="32"/>
      <c r="W443" s="32"/>
      <c r="X443" s="8"/>
      <c r="Y443" s="32"/>
      <c r="Z443" s="8"/>
      <c r="AA443" s="8"/>
    </row>
    <row r="444" spans="1:27" s="52" customFormat="1" x14ac:dyDescent="0.25">
      <c r="A444" s="8"/>
      <c r="B444" s="9"/>
      <c r="C444" s="2"/>
      <c r="D444" s="11"/>
      <c r="E444" s="9"/>
      <c r="F444" s="10"/>
      <c r="G444" s="10"/>
      <c r="H444" s="33"/>
      <c r="I444" s="33"/>
      <c r="J444" s="33"/>
      <c r="K444" s="33"/>
      <c r="L444" s="33"/>
      <c r="M444" s="33"/>
      <c r="N444" s="33"/>
      <c r="O444" s="9"/>
      <c r="P444" s="9"/>
      <c r="Q444" s="8"/>
      <c r="R444" s="8"/>
      <c r="S444" s="12"/>
      <c r="T444" s="32"/>
      <c r="U444" s="32"/>
      <c r="V444" s="32"/>
      <c r="W444" s="32"/>
      <c r="X444" s="8"/>
      <c r="Y444" s="32"/>
      <c r="Z444" s="8"/>
      <c r="AA444" s="8"/>
    </row>
    <row r="445" spans="1:27" s="52" customFormat="1" x14ac:dyDescent="0.25">
      <c r="A445" s="8"/>
      <c r="B445" s="9"/>
      <c r="C445" s="2"/>
      <c r="D445" s="11"/>
      <c r="E445" s="9"/>
      <c r="F445" s="10"/>
      <c r="G445" s="10"/>
      <c r="H445" s="33"/>
      <c r="I445" s="33"/>
      <c r="J445" s="33"/>
      <c r="K445" s="33"/>
      <c r="L445" s="33"/>
      <c r="M445" s="33"/>
      <c r="N445" s="33"/>
      <c r="O445" s="9"/>
      <c r="P445" s="9"/>
      <c r="Q445" s="8"/>
      <c r="R445" s="8"/>
      <c r="S445" s="12"/>
      <c r="T445" s="32"/>
      <c r="U445" s="32"/>
      <c r="V445" s="32"/>
      <c r="W445" s="32"/>
      <c r="X445" s="8"/>
      <c r="Y445" s="32"/>
      <c r="Z445" s="8"/>
      <c r="AA445" s="8"/>
    </row>
    <row r="446" spans="1:27" s="52" customFormat="1" x14ac:dyDescent="0.25">
      <c r="A446" s="8"/>
      <c r="B446" s="9"/>
      <c r="C446" s="2"/>
      <c r="D446" s="11"/>
      <c r="E446" s="9"/>
      <c r="F446" s="10"/>
      <c r="G446" s="10"/>
      <c r="H446" s="33"/>
      <c r="I446" s="33"/>
      <c r="J446" s="33"/>
      <c r="K446" s="33"/>
      <c r="L446" s="33"/>
      <c r="M446" s="33"/>
      <c r="N446" s="33"/>
      <c r="O446" s="9"/>
      <c r="P446" s="9"/>
      <c r="Q446" s="8"/>
      <c r="R446" s="8"/>
      <c r="S446" s="12"/>
      <c r="T446" s="32"/>
      <c r="U446" s="32"/>
      <c r="V446" s="32"/>
      <c r="W446" s="32"/>
      <c r="X446" s="8"/>
      <c r="Y446" s="32"/>
      <c r="Z446" s="8"/>
      <c r="AA446" s="8"/>
    </row>
    <row r="447" spans="1:27" s="52" customFormat="1" x14ac:dyDescent="0.25">
      <c r="A447" s="8"/>
      <c r="B447" s="9"/>
      <c r="C447" s="2"/>
      <c r="D447" s="11"/>
      <c r="E447" s="9"/>
      <c r="F447" s="10"/>
      <c r="G447" s="10"/>
      <c r="H447" s="33"/>
      <c r="I447" s="33"/>
      <c r="J447" s="33"/>
      <c r="K447" s="33"/>
      <c r="L447" s="33"/>
      <c r="M447" s="33"/>
      <c r="N447" s="33"/>
      <c r="O447" s="9"/>
      <c r="P447" s="9"/>
      <c r="Q447" s="8"/>
      <c r="R447" s="8"/>
      <c r="S447" s="12"/>
      <c r="T447" s="32"/>
      <c r="U447" s="32"/>
      <c r="V447" s="32"/>
      <c r="W447" s="32"/>
      <c r="X447" s="8"/>
      <c r="Y447" s="32"/>
      <c r="Z447" s="8"/>
      <c r="AA447" s="8"/>
    </row>
    <row r="448" spans="1:27" s="52" customFormat="1" x14ac:dyDescent="0.25">
      <c r="A448" s="8"/>
      <c r="B448" s="9"/>
      <c r="C448" s="2"/>
      <c r="D448" s="11"/>
      <c r="E448" s="9"/>
      <c r="F448" s="10"/>
      <c r="G448" s="10"/>
      <c r="H448" s="33"/>
      <c r="I448" s="33"/>
      <c r="J448" s="33"/>
      <c r="K448" s="33"/>
      <c r="L448" s="33"/>
      <c r="M448" s="33"/>
      <c r="N448" s="33"/>
      <c r="O448" s="9"/>
      <c r="P448" s="9"/>
      <c r="Q448" s="8"/>
      <c r="R448" s="8"/>
      <c r="S448" s="12"/>
      <c r="T448" s="32"/>
      <c r="U448" s="32"/>
      <c r="V448" s="32"/>
      <c r="W448" s="32"/>
      <c r="X448" s="8"/>
      <c r="Y448" s="32"/>
      <c r="Z448" s="8"/>
      <c r="AA448" s="8"/>
    </row>
    <row r="449" spans="1:27" s="52" customFormat="1" x14ac:dyDescent="0.25">
      <c r="A449" s="8"/>
      <c r="B449" s="9"/>
      <c r="C449" s="2"/>
      <c r="D449" s="11"/>
      <c r="E449" s="9"/>
      <c r="F449" s="10"/>
      <c r="G449" s="10"/>
      <c r="H449" s="33"/>
      <c r="I449" s="33"/>
      <c r="J449" s="33"/>
      <c r="K449" s="33"/>
      <c r="L449" s="33"/>
      <c r="M449" s="33"/>
      <c r="N449" s="33"/>
      <c r="O449" s="9"/>
      <c r="P449" s="9"/>
      <c r="Q449" s="8"/>
      <c r="R449" s="8"/>
      <c r="S449" s="12"/>
      <c r="T449" s="32"/>
      <c r="U449" s="32"/>
      <c r="V449" s="32"/>
      <c r="W449" s="32"/>
      <c r="X449" s="8"/>
      <c r="Y449" s="32"/>
      <c r="Z449" s="8"/>
      <c r="AA449" s="8"/>
    </row>
    <row r="450" spans="1:27" s="52" customFormat="1" x14ac:dyDescent="0.25">
      <c r="A450" s="8"/>
      <c r="B450" s="9"/>
      <c r="C450" s="2"/>
      <c r="D450" s="11"/>
      <c r="E450" s="9"/>
      <c r="F450" s="10"/>
      <c r="G450" s="10"/>
      <c r="H450" s="33"/>
      <c r="I450" s="33"/>
      <c r="J450" s="33"/>
      <c r="K450" s="33"/>
      <c r="L450" s="33"/>
      <c r="M450" s="33"/>
      <c r="N450" s="33"/>
      <c r="O450" s="9"/>
      <c r="P450" s="9"/>
      <c r="Q450" s="8"/>
      <c r="R450" s="8"/>
      <c r="S450" s="12"/>
      <c r="T450" s="32"/>
      <c r="U450" s="32"/>
      <c r="V450" s="32"/>
      <c r="W450" s="32"/>
      <c r="X450" s="8"/>
      <c r="Y450" s="32"/>
      <c r="Z450" s="8"/>
      <c r="AA450" s="8"/>
    </row>
    <row r="451" spans="1:27" s="52" customFormat="1" x14ac:dyDescent="0.25">
      <c r="A451" s="8"/>
      <c r="B451" s="9"/>
      <c r="C451" s="2"/>
      <c r="D451" s="11"/>
      <c r="E451" s="9"/>
      <c r="F451" s="10"/>
      <c r="G451" s="10"/>
      <c r="H451" s="33"/>
      <c r="I451" s="33"/>
      <c r="J451" s="33"/>
      <c r="K451" s="33"/>
      <c r="L451" s="33"/>
      <c r="M451" s="33"/>
      <c r="N451" s="33"/>
      <c r="O451" s="9"/>
      <c r="P451" s="9"/>
      <c r="Q451" s="8"/>
      <c r="R451" s="8"/>
      <c r="S451" s="12"/>
      <c r="T451" s="32"/>
      <c r="U451" s="32"/>
      <c r="V451" s="32"/>
      <c r="W451" s="32"/>
      <c r="X451" s="8"/>
      <c r="Y451" s="32"/>
      <c r="Z451" s="8"/>
      <c r="AA451" s="8"/>
    </row>
    <row r="452" spans="1:27" s="52" customFormat="1" x14ac:dyDescent="0.25">
      <c r="A452" s="8"/>
      <c r="B452" s="9"/>
      <c r="C452" s="2"/>
      <c r="D452" s="11"/>
      <c r="E452" s="9"/>
      <c r="F452" s="10"/>
      <c r="G452" s="10"/>
      <c r="H452" s="33"/>
      <c r="I452" s="33"/>
      <c r="J452" s="33"/>
      <c r="K452" s="33"/>
      <c r="L452" s="33"/>
      <c r="M452" s="33"/>
      <c r="N452" s="33"/>
      <c r="O452" s="9"/>
      <c r="P452" s="9"/>
      <c r="Q452" s="8"/>
      <c r="R452" s="8"/>
      <c r="S452" s="12"/>
      <c r="T452" s="32"/>
      <c r="U452" s="32"/>
      <c r="V452" s="32"/>
      <c r="W452" s="32"/>
      <c r="X452" s="8"/>
      <c r="Y452" s="32"/>
      <c r="Z452" s="8"/>
      <c r="AA452" s="8"/>
    </row>
    <row r="453" spans="1:27" s="52" customFormat="1" x14ac:dyDescent="0.25">
      <c r="A453" s="8"/>
      <c r="B453" s="9"/>
      <c r="C453" s="2"/>
      <c r="D453" s="11"/>
      <c r="E453" s="9"/>
      <c r="F453" s="10"/>
      <c r="G453" s="10"/>
      <c r="H453" s="33"/>
      <c r="I453" s="33"/>
      <c r="J453" s="33"/>
      <c r="K453" s="33"/>
      <c r="L453" s="33"/>
      <c r="M453" s="33"/>
      <c r="N453" s="33"/>
      <c r="O453" s="9"/>
      <c r="P453" s="9"/>
      <c r="Q453" s="8"/>
      <c r="R453" s="8"/>
      <c r="S453" s="12"/>
      <c r="T453" s="32"/>
      <c r="U453" s="32"/>
      <c r="V453" s="32"/>
      <c r="W453" s="32"/>
      <c r="X453" s="8"/>
      <c r="Y453" s="32"/>
      <c r="Z453" s="8"/>
      <c r="AA453" s="8"/>
    </row>
    <row r="454" spans="1:27" s="52" customFormat="1" x14ac:dyDescent="0.25">
      <c r="A454" s="8"/>
      <c r="B454" s="9"/>
      <c r="C454" s="2"/>
      <c r="D454" s="11"/>
      <c r="E454" s="9"/>
      <c r="F454" s="10"/>
      <c r="G454" s="10"/>
      <c r="H454" s="33"/>
      <c r="I454" s="33"/>
      <c r="J454" s="33"/>
      <c r="K454" s="33"/>
      <c r="L454" s="33"/>
      <c r="M454" s="33"/>
      <c r="N454" s="33"/>
      <c r="O454" s="9"/>
      <c r="P454" s="9"/>
      <c r="Q454" s="8"/>
      <c r="R454" s="8"/>
      <c r="S454" s="12"/>
      <c r="T454" s="32"/>
      <c r="U454" s="32"/>
      <c r="V454" s="32"/>
      <c r="W454" s="32"/>
      <c r="X454" s="8"/>
      <c r="Y454" s="32"/>
      <c r="Z454" s="8"/>
      <c r="AA454" s="8"/>
    </row>
    <row r="455" spans="1:27" s="52" customFormat="1" x14ac:dyDescent="0.25">
      <c r="A455" s="8"/>
      <c r="B455" s="9"/>
      <c r="C455" s="2"/>
      <c r="D455" s="11"/>
      <c r="E455" s="9"/>
      <c r="F455" s="10"/>
      <c r="G455" s="10"/>
      <c r="H455" s="33"/>
      <c r="I455" s="33"/>
      <c r="J455" s="33"/>
      <c r="K455" s="33"/>
      <c r="L455" s="33"/>
      <c r="M455" s="33"/>
      <c r="N455" s="33"/>
      <c r="O455" s="9"/>
      <c r="P455" s="9"/>
      <c r="Q455" s="8"/>
      <c r="R455" s="8"/>
      <c r="S455" s="12"/>
      <c r="T455" s="32"/>
      <c r="U455" s="32"/>
      <c r="V455" s="32"/>
      <c r="W455" s="32"/>
      <c r="X455" s="8"/>
      <c r="Y455" s="32"/>
      <c r="Z455" s="8"/>
      <c r="AA455" s="8"/>
    </row>
    <row r="456" spans="1:27" s="52" customFormat="1" x14ac:dyDescent="0.25">
      <c r="A456" s="8"/>
      <c r="B456" s="9"/>
      <c r="C456" s="2"/>
      <c r="D456" s="11"/>
      <c r="E456" s="9"/>
      <c r="F456" s="10"/>
      <c r="G456" s="10"/>
      <c r="H456" s="33"/>
      <c r="I456" s="33"/>
      <c r="J456" s="33"/>
      <c r="K456" s="33"/>
      <c r="L456" s="33"/>
      <c r="M456" s="33"/>
      <c r="N456" s="33"/>
      <c r="O456" s="9"/>
      <c r="P456" s="9"/>
      <c r="Q456" s="8"/>
      <c r="R456" s="8"/>
      <c r="S456" s="12"/>
      <c r="T456" s="32"/>
      <c r="U456" s="32"/>
      <c r="V456" s="32"/>
      <c r="W456" s="32"/>
      <c r="X456" s="8"/>
      <c r="Y456" s="32"/>
      <c r="Z456" s="8"/>
      <c r="AA456" s="8"/>
    </row>
    <row r="457" spans="1:27" s="52" customFormat="1" x14ac:dyDescent="0.25">
      <c r="A457" s="8"/>
      <c r="B457" s="9"/>
      <c r="C457" s="2"/>
      <c r="D457" s="11"/>
      <c r="E457" s="9"/>
      <c r="F457" s="10"/>
      <c r="G457" s="10"/>
      <c r="H457" s="33"/>
      <c r="I457" s="33"/>
      <c r="J457" s="33"/>
      <c r="K457" s="33"/>
      <c r="L457" s="33"/>
      <c r="M457" s="33"/>
      <c r="N457" s="33"/>
      <c r="O457" s="9"/>
      <c r="P457" s="9"/>
      <c r="Q457" s="8"/>
      <c r="R457" s="8"/>
      <c r="S457" s="12"/>
      <c r="T457" s="32"/>
      <c r="U457" s="32"/>
      <c r="V457" s="32"/>
      <c r="W457" s="32"/>
      <c r="X457" s="8"/>
      <c r="Y457" s="32"/>
      <c r="Z457" s="8"/>
      <c r="AA457" s="8"/>
    </row>
    <row r="458" spans="1:27" s="52" customFormat="1" x14ac:dyDescent="0.25">
      <c r="A458" s="8"/>
      <c r="B458" s="9"/>
      <c r="C458" s="2"/>
      <c r="D458" s="11"/>
      <c r="E458" s="9"/>
      <c r="F458" s="10"/>
      <c r="G458" s="10"/>
      <c r="H458" s="33"/>
      <c r="I458" s="33"/>
      <c r="J458" s="33"/>
      <c r="K458" s="33"/>
      <c r="L458" s="33"/>
      <c r="M458" s="33"/>
      <c r="N458" s="33"/>
      <c r="O458" s="9"/>
      <c r="P458" s="9"/>
      <c r="Q458" s="8"/>
      <c r="R458" s="8"/>
      <c r="S458" s="12"/>
      <c r="T458" s="32"/>
      <c r="U458" s="32"/>
      <c r="V458" s="32"/>
      <c r="W458" s="32"/>
      <c r="X458" s="8"/>
      <c r="Y458" s="32"/>
      <c r="Z458" s="8"/>
      <c r="AA458" s="8"/>
    </row>
    <row r="459" spans="1:27" s="52" customFormat="1" x14ac:dyDescent="0.25">
      <c r="A459" s="8"/>
      <c r="B459" s="9"/>
      <c r="C459" s="2"/>
      <c r="D459" s="11"/>
      <c r="E459" s="9"/>
      <c r="F459" s="10"/>
      <c r="G459" s="10"/>
      <c r="H459" s="33"/>
      <c r="I459" s="33"/>
      <c r="J459" s="33"/>
      <c r="K459" s="33"/>
      <c r="L459" s="33"/>
      <c r="M459" s="33"/>
      <c r="N459" s="33"/>
      <c r="O459" s="9"/>
      <c r="P459" s="9"/>
      <c r="Q459" s="8"/>
      <c r="R459" s="8"/>
      <c r="S459" s="12"/>
      <c r="T459" s="32"/>
      <c r="U459" s="32"/>
      <c r="V459" s="32"/>
      <c r="W459" s="32"/>
      <c r="X459" s="8"/>
      <c r="Y459" s="32"/>
      <c r="Z459" s="8"/>
      <c r="AA459" s="8"/>
    </row>
    <row r="460" spans="1:27" s="52" customFormat="1" x14ac:dyDescent="0.25">
      <c r="A460" s="8"/>
      <c r="B460" s="9"/>
      <c r="C460" s="2"/>
      <c r="D460" s="11"/>
      <c r="E460" s="9"/>
      <c r="F460" s="10"/>
      <c r="G460" s="10"/>
      <c r="H460" s="33"/>
      <c r="I460" s="33"/>
      <c r="J460" s="33"/>
      <c r="K460" s="33"/>
      <c r="L460" s="33"/>
      <c r="M460" s="33"/>
      <c r="N460" s="33"/>
      <c r="O460" s="9"/>
      <c r="P460" s="9"/>
      <c r="Q460" s="8"/>
      <c r="R460" s="8"/>
      <c r="S460" s="12"/>
      <c r="T460" s="32"/>
      <c r="U460" s="32"/>
      <c r="V460" s="32"/>
      <c r="W460" s="32"/>
      <c r="X460" s="8"/>
      <c r="Y460" s="32"/>
      <c r="Z460" s="8"/>
      <c r="AA460" s="8"/>
    </row>
    <row r="461" spans="1:27" s="52" customFormat="1" x14ac:dyDescent="0.25">
      <c r="A461" s="8"/>
      <c r="B461" s="9"/>
      <c r="C461" s="2"/>
      <c r="D461" s="11"/>
      <c r="E461" s="9"/>
      <c r="F461" s="10"/>
      <c r="G461" s="10"/>
      <c r="H461" s="33"/>
      <c r="I461" s="33"/>
      <c r="J461" s="33"/>
      <c r="K461" s="33"/>
      <c r="L461" s="33"/>
      <c r="M461" s="33"/>
      <c r="N461" s="33"/>
      <c r="O461" s="9"/>
      <c r="P461" s="9"/>
      <c r="Q461" s="8"/>
      <c r="R461" s="8"/>
      <c r="S461" s="12"/>
      <c r="T461" s="32"/>
      <c r="U461" s="32"/>
      <c r="V461" s="32"/>
      <c r="W461" s="32"/>
      <c r="X461" s="8"/>
      <c r="Y461" s="32"/>
      <c r="Z461" s="8"/>
      <c r="AA461" s="8"/>
    </row>
    <row r="462" spans="1:27" s="52" customFormat="1" x14ac:dyDescent="0.25">
      <c r="A462" s="8"/>
      <c r="B462" s="9"/>
      <c r="C462" s="2"/>
      <c r="D462" s="11"/>
      <c r="E462" s="9"/>
      <c r="F462" s="10"/>
      <c r="G462" s="10"/>
      <c r="H462" s="33"/>
      <c r="I462" s="33"/>
      <c r="J462" s="33"/>
      <c r="K462" s="33"/>
      <c r="L462" s="33"/>
      <c r="M462" s="33"/>
      <c r="N462" s="33"/>
      <c r="O462" s="9"/>
      <c r="P462" s="9"/>
      <c r="Q462" s="8"/>
      <c r="R462" s="8"/>
      <c r="S462" s="12"/>
      <c r="T462" s="32"/>
      <c r="U462" s="32"/>
      <c r="V462" s="32"/>
      <c r="W462" s="32"/>
      <c r="X462" s="8"/>
      <c r="Y462" s="32"/>
      <c r="Z462" s="8"/>
      <c r="AA462" s="8"/>
    </row>
    <row r="463" spans="1:27" s="52" customFormat="1" x14ac:dyDescent="0.25">
      <c r="A463" s="8"/>
      <c r="B463" s="9"/>
      <c r="C463" s="2"/>
      <c r="D463" s="11"/>
      <c r="E463" s="9"/>
      <c r="F463" s="10"/>
      <c r="G463" s="10"/>
      <c r="H463" s="33"/>
      <c r="I463" s="33"/>
      <c r="J463" s="33"/>
      <c r="K463" s="33"/>
      <c r="L463" s="33"/>
      <c r="M463" s="33"/>
      <c r="N463" s="33"/>
      <c r="O463" s="9"/>
      <c r="P463" s="9"/>
      <c r="Q463" s="8"/>
      <c r="R463" s="8"/>
      <c r="S463" s="12"/>
      <c r="T463" s="32"/>
      <c r="U463" s="32"/>
      <c r="V463" s="32"/>
      <c r="W463" s="32"/>
      <c r="X463" s="8"/>
      <c r="Y463" s="32"/>
      <c r="Z463" s="8"/>
      <c r="AA463" s="8"/>
    </row>
    <row r="464" spans="1:27" s="52" customFormat="1" x14ac:dyDescent="0.25">
      <c r="A464" s="8"/>
      <c r="B464" s="9"/>
      <c r="C464" s="2"/>
      <c r="D464" s="11"/>
      <c r="E464" s="9"/>
      <c r="F464" s="10"/>
      <c r="G464" s="10"/>
      <c r="H464" s="33"/>
      <c r="I464" s="33"/>
      <c r="J464" s="33"/>
      <c r="K464" s="33"/>
      <c r="L464" s="33"/>
      <c r="M464" s="33"/>
      <c r="N464" s="33"/>
      <c r="O464" s="9"/>
      <c r="P464" s="9"/>
      <c r="Q464" s="8"/>
      <c r="R464" s="8"/>
      <c r="S464" s="12"/>
      <c r="T464" s="32"/>
      <c r="U464" s="32"/>
      <c r="V464" s="32"/>
      <c r="W464" s="32"/>
      <c r="X464" s="8"/>
      <c r="Y464" s="32"/>
      <c r="Z464" s="8"/>
      <c r="AA464" s="8"/>
    </row>
    <row r="465" spans="1:27" s="52" customFormat="1" x14ac:dyDescent="0.25">
      <c r="A465" s="8"/>
      <c r="B465" s="9"/>
      <c r="C465" s="2"/>
      <c r="D465" s="11"/>
      <c r="E465" s="9"/>
      <c r="F465" s="10"/>
      <c r="G465" s="10"/>
      <c r="H465" s="33"/>
      <c r="I465" s="33"/>
      <c r="J465" s="33"/>
      <c r="K465" s="33"/>
      <c r="L465" s="33"/>
      <c r="M465" s="33"/>
      <c r="N465" s="33"/>
      <c r="O465" s="9"/>
      <c r="P465" s="9"/>
      <c r="Q465" s="8"/>
      <c r="R465" s="8"/>
      <c r="S465" s="12"/>
      <c r="T465" s="32"/>
      <c r="U465" s="32"/>
      <c r="V465" s="32"/>
      <c r="W465" s="32"/>
      <c r="X465" s="8"/>
      <c r="Y465" s="32"/>
      <c r="Z465" s="8"/>
      <c r="AA465" s="8"/>
    </row>
    <row r="466" spans="1:27" s="52" customFormat="1" x14ac:dyDescent="0.25">
      <c r="A466" s="8"/>
      <c r="B466" s="9"/>
      <c r="C466" s="2"/>
      <c r="D466" s="11"/>
      <c r="E466" s="9"/>
      <c r="F466" s="10"/>
      <c r="G466" s="10"/>
      <c r="H466" s="33"/>
      <c r="I466" s="33"/>
      <c r="J466" s="33"/>
      <c r="K466" s="33"/>
      <c r="L466" s="33"/>
      <c r="M466" s="33"/>
      <c r="N466" s="33"/>
      <c r="O466" s="9"/>
      <c r="P466" s="9"/>
      <c r="Q466" s="8"/>
      <c r="R466" s="8"/>
      <c r="S466" s="12"/>
      <c r="T466" s="32"/>
      <c r="U466" s="32"/>
      <c r="V466" s="32"/>
      <c r="W466" s="32"/>
      <c r="X466" s="8"/>
      <c r="Y466" s="32"/>
      <c r="Z466" s="8"/>
      <c r="AA466" s="8"/>
    </row>
    <row r="467" spans="1:27" s="52" customFormat="1" x14ac:dyDescent="0.25">
      <c r="A467" s="8"/>
      <c r="B467" s="9"/>
      <c r="C467" s="2"/>
      <c r="D467" s="11"/>
      <c r="E467" s="9"/>
      <c r="F467" s="10"/>
      <c r="G467" s="10"/>
      <c r="H467" s="33"/>
      <c r="I467" s="33"/>
      <c r="J467" s="33"/>
      <c r="K467" s="33"/>
      <c r="L467" s="33"/>
      <c r="M467" s="33"/>
      <c r="N467" s="33"/>
      <c r="O467" s="9"/>
      <c r="P467" s="9"/>
      <c r="Q467" s="8"/>
      <c r="R467" s="8"/>
      <c r="S467" s="12"/>
      <c r="T467" s="32"/>
      <c r="U467" s="32"/>
      <c r="V467" s="32"/>
      <c r="W467" s="32"/>
      <c r="X467" s="8"/>
      <c r="Y467" s="32"/>
      <c r="Z467" s="8"/>
      <c r="AA467" s="8"/>
    </row>
    <row r="468" spans="1:27" s="52" customFormat="1" x14ac:dyDescent="0.25">
      <c r="A468" s="8"/>
      <c r="B468" s="9"/>
      <c r="C468" s="2"/>
      <c r="D468" s="11"/>
      <c r="E468" s="9"/>
      <c r="F468" s="10"/>
      <c r="G468" s="10"/>
      <c r="H468" s="33"/>
      <c r="I468" s="33"/>
      <c r="J468" s="33"/>
      <c r="K468" s="33"/>
      <c r="L468" s="33"/>
      <c r="M468" s="33"/>
      <c r="N468" s="33"/>
      <c r="O468" s="9"/>
      <c r="P468" s="9"/>
      <c r="Q468" s="8"/>
      <c r="R468" s="8"/>
      <c r="S468" s="12"/>
      <c r="T468" s="32"/>
      <c r="U468" s="32"/>
      <c r="V468" s="32"/>
      <c r="W468" s="32"/>
      <c r="X468" s="8"/>
      <c r="Y468" s="32"/>
      <c r="Z468" s="8"/>
      <c r="AA468" s="8"/>
    </row>
    <row r="469" spans="1:27" s="52" customFormat="1" x14ac:dyDescent="0.25">
      <c r="A469" s="8"/>
      <c r="B469" s="9"/>
      <c r="C469" s="2"/>
      <c r="D469" s="11"/>
      <c r="E469" s="9"/>
      <c r="F469" s="10"/>
      <c r="G469" s="10"/>
      <c r="H469" s="33"/>
      <c r="I469" s="33"/>
      <c r="J469" s="33"/>
      <c r="K469" s="33"/>
      <c r="L469" s="33"/>
      <c r="M469" s="33"/>
      <c r="N469" s="33"/>
      <c r="O469" s="9"/>
      <c r="P469" s="9"/>
      <c r="Q469" s="8"/>
      <c r="R469" s="8"/>
      <c r="S469" s="12"/>
      <c r="T469" s="32"/>
      <c r="U469" s="32"/>
      <c r="V469" s="32"/>
      <c r="W469" s="32"/>
      <c r="X469" s="8"/>
      <c r="Y469" s="32"/>
      <c r="Z469" s="8"/>
      <c r="AA469" s="8"/>
    </row>
    <row r="470" spans="1:27" s="52" customFormat="1" x14ac:dyDescent="0.25">
      <c r="A470" s="8"/>
      <c r="B470" s="9"/>
      <c r="C470" s="2"/>
      <c r="D470" s="11"/>
      <c r="E470" s="9"/>
      <c r="F470" s="10"/>
      <c r="G470" s="10"/>
      <c r="H470" s="33"/>
      <c r="I470" s="33"/>
      <c r="J470" s="33"/>
      <c r="K470" s="33"/>
      <c r="L470" s="33"/>
      <c r="M470" s="33"/>
      <c r="N470" s="33"/>
      <c r="O470" s="9"/>
      <c r="P470" s="9"/>
      <c r="Q470" s="8"/>
      <c r="R470" s="8"/>
      <c r="S470" s="12"/>
      <c r="T470" s="32"/>
      <c r="U470" s="32"/>
      <c r="V470" s="32"/>
      <c r="W470" s="32"/>
      <c r="X470" s="8"/>
      <c r="Y470" s="32"/>
      <c r="Z470" s="8"/>
      <c r="AA470" s="8"/>
    </row>
    <row r="471" spans="1:27" s="52" customFormat="1" x14ac:dyDescent="0.25">
      <c r="A471" s="8"/>
      <c r="B471" s="9"/>
      <c r="C471" s="2"/>
      <c r="D471" s="11"/>
      <c r="E471" s="9"/>
      <c r="F471" s="10"/>
      <c r="G471" s="10"/>
      <c r="H471" s="33"/>
      <c r="I471" s="33"/>
      <c r="J471" s="33"/>
      <c r="K471" s="33"/>
      <c r="L471" s="33"/>
      <c r="M471" s="33"/>
      <c r="N471" s="33"/>
      <c r="O471" s="9"/>
      <c r="P471" s="9"/>
      <c r="Q471" s="8"/>
      <c r="R471" s="8"/>
      <c r="S471" s="12"/>
      <c r="T471" s="32"/>
      <c r="U471" s="32"/>
      <c r="V471" s="32"/>
      <c r="W471" s="32"/>
      <c r="X471" s="8"/>
      <c r="Y471" s="32"/>
      <c r="Z471" s="8"/>
      <c r="AA471" s="8"/>
    </row>
    <row r="472" spans="1:27" s="52" customFormat="1" x14ac:dyDescent="0.25">
      <c r="A472" s="8"/>
      <c r="B472" s="9"/>
      <c r="C472" s="2"/>
      <c r="D472" s="11"/>
      <c r="E472" s="9"/>
      <c r="F472" s="10"/>
      <c r="G472" s="10"/>
      <c r="H472" s="33"/>
      <c r="I472" s="33"/>
      <c r="J472" s="33"/>
      <c r="K472" s="33"/>
      <c r="L472" s="33"/>
      <c r="M472" s="33"/>
      <c r="N472" s="33"/>
      <c r="O472" s="9"/>
      <c r="P472" s="9"/>
      <c r="Q472" s="8"/>
      <c r="R472" s="8"/>
      <c r="S472" s="12"/>
      <c r="T472" s="32"/>
      <c r="U472" s="32"/>
      <c r="V472" s="32"/>
      <c r="W472" s="32"/>
      <c r="X472" s="8"/>
      <c r="Y472" s="32"/>
      <c r="Z472" s="8"/>
      <c r="AA472" s="8"/>
    </row>
    <row r="473" spans="1:27" s="52" customFormat="1" x14ac:dyDescent="0.25">
      <c r="A473" s="8"/>
      <c r="B473" s="9"/>
      <c r="C473" s="2"/>
      <c r="D473" s="11"/>
      <c r="E473" s="9"/>
      <c r="F473" s="10"/>
      <c r="G473" s="10"/>
      <c r="H473" s="33"/>
      <c r="I473" s="33"/>
      <c r="J473" s="33"/>
      <c r="K473" s="33"/>
      <c r="L473" s="33"/>
      <c r="M473" s="33"/>
      <c r="N473" s="33"/>
      <c r="O473" s="9"/>
      <c r="P473" s="9"/>
      <c r="Q473" s="8"/>
      <c r="R473" s="8"/>
      <c r="S473" s="12"/>
      <c r="T473" s="32"/>
      <c r="U473" s="32"/>
      <c r="V473" s="32"/>
      <c r="W473" s="32"/>
      <c r="X473" s="8"/>
      <c r="Y473" s="32"/>
      <c r="Z473" s="8"/>
      <c r="AA473" s="8"/>
    </row>
    <row r="474" spans="1:27" s="52" customFormat="1" x14ac:dyDescent="0.25">
      <c r="A474" s="8"/>
      <c r="B474" s="9"/>
      <c r="C474" s="2"/>
      <c r="D474" s="11"/>
      <c r="E474" s="9"/>
      <c r="F474" s="10"/>
      <c r="G474" s="10"/>
      <c r="H474" s="33"/>
      <c r="I474" s="33"/>
      <c r="J474" s="33"/>
      <c r="K474" s="33"/>
      <c r="L474" s="33"/>
      <c r="M474" s="33"/>
      <c r="N474" s="33"/>
      <c r="O474" s="9"/>
      <c r="P474" s="9"/>
      <c r="Q474" s="8"/>
      <c r="R474" s="8"/>
      <c r="S474" s="12"/>
      <c r="T474" s="32"/>
      <c r="U474" s="32"/>
      <c r="V474" s="32"/>
      <c r="W474" s="32"/>
      <c r="X474" s="8"/>
      <c r="Y474" s="32"/>
      <c r="Z474" s="8"/>
      <c r="AA474" s="8"/>
    </row>
    <row r="475" spans="1:27" s="52" customFormat="1" x14ac:dyDescent="0.25">
      <c r="A475" s="8"/>
      <c r="B475" s="9"/>
      <c r="C475" s="2"/>
      <c r="D475" s="11"/>
      <c r="E475" s="9"/>
      <c r="F475" s="10"/>
      <c r="G475" s="10"/>
      <c r="H475" s="33"/>
      <c r="I475" s="33"/>
      <c r="J475" s="33"/>
      <c r="K475" s="33"/>
      <c r="L475" s="33"/>
      <c r="M475" s="33"/>
      <c r="N475" s="33"/>
      <c r="O475" s="9"/>
      <c r="P475" s="9"/>
      <c r="Q475" s="8"/>
      <c r="R475" s="8"/>
      <c r="S475" s="12"/>
      <c r="T475" s="32"/>
      <c r="U475" s="32"/>
      <c r="V475" s="32"/>
      <c r="W475" s="32"/>
      <c r="X475" s="8"/>
      <c r="Y475" s="32"/>
      <c r="Z475" s="8"/>
      <c r="AA475" s="8"/>
    </row>
    <row r="476" spans="1:27" s="52" customFormat="1" x14ac:dyDescent="0.25">
      <c r="A476" s="8"/>
      <c r="B476" s="9"/>
      <c r="C476" s="2"/>
      <c r="D476" s="11"/>
      <c r="E476" s="9"/>
      <c r="F476" s="10"/>
      <c r="G476" s="10"/>
      <c r="H476" s="33"/>
      <c r="I476" s="33"/>
      <c r="J476" s="33"/>
      <c r="K476" s="33"/>
      <c r="L476" s="33"/>
      <c r="M476" s="33"/>
      <c r="N476" s="33"/>
      <c r="O476" s="9"/>
      <c r="P476" s="9"/>
      <c r="Q476" s="8"/>
      <c r="R476" s="8"/>
      <c r="S476" s="12"/>
      <c r="T476" s="32"/>
      <c r="U476" s="32"/>
      <c r="V476" s="32"/>
      <c r="W476" s="32"/>
      <c r="X476" s="8"/>
      <c r="Y476" s="32"/>
      <c r="Z476" s="8"/>
      <c r="AA476" s="8"/>
    </row>
    <row r="477" spans="1:27" s="52" customFormat="1" x14ac:dyDescent="0.25">
      <c r="A477" s="8"/>
      <c r="B477" s="9"/>
      <c r="C477" s="2"/>
      <c r="D477" s="11"/>
      <c r="E477" s="9"/>
      <c r="F477" s="10"/>
      <c r="G477" s="10"/>
      <c r="H477" s="33"/>
      <c r="I477" s="33"/>
      <c r="J477" s="33"/>
      <c r="K477" s="33"/>
      <c r="L477" s="33"/>
      <c r="M477" s="33"/>
      <c r="N477" s="33"/>
      <c r="O477" s="9"/>
      <c r="P477" s="9"/>
      <c r="Q477" s="8"/>
      <c r="R477" s="8"/>
      <c r="S477" s="12"/>
      <c r="T477" s="32"/>
      <c r="U477" s="32"/>
      <c r="V477" s="32"/>
      <c r="W477" s="32"/>
      <c r="X477" s="8"/>
      <c r="Y477" s="32"/>
      <c r="Z477" s="8"/>
      <c r="AA477" s="8"/>
    </row>
    <row r="478" spans="1:27" s="52" customFormat="1" x14ac:dyDescent="0.25">
      <c r="A478" s="8"/>
      <c r="B478" s="9"/>
      <c r="C478" s="2"/>
      <c r="D478" s="11"/>
      <c r="E478" s="9"/>
      <c r="F478" s="10"/>
      <c r="G478" s="10"/>
      <c r="H478" s="33"/>
      <c r="I478" s="33"/>
      <c r="J478" s="33"/>
      <c r="K478" s="33"/>
      <c r="L478" s="33"/>
      <c r="M478" s="33"/>
      <c r="N478" s="33"/>
      <c r="O478" s="9"/>
      <c r="P478" s="9"/>
      <c r="Q478" s="8"/>
      <c r="R478" s="8"/>
      <c r="S478" s="12"/>
      <c r="T478" s="32"/>
      <c r="U478" s="32"/>
      <c r="V478" s="32"/>
      <c r="W478" s="32"/>
      <c r="X478" s="8"/>
      <c r="Y478" s="32"/>
      <c r="Z478" s="8"/>
      <c r="AA478" s="8"/>
    </row>
    <row r="479" spans="1:27" s="52" customFormat="1" x14ac:dyDescent="0.25">
      <c r="A479" s="8"/>
      <c r="B479" s="9"/>
      <c r="C479" s="2"/>
      <c r="D479" s="11"/>
      <c r="E479" s="9"/>
      <c r="F479" s="10"/>
      <c r="G479" s="10"/>
      <c r="H479" s="33"/>
      <c r="I479" s="33"/>
      <c r="J479" s="33"/>
      <c r="K479" s="33"/>
      <c r="L479" s="33"/>
      <c r="M479" s="33"/>
      <c r="N479" s="33"/>
      <c r="O479" s="9"/>
      <c r="P479" s="9"/>
      <c r="Q479" s="8"/>
      <c r="R479" s="8"/>
      <c r="S479" s="12"/>
      <c r="T479" s="32"/>
      <c r="U479" s="32"/>
      <c r="V479" s="32"/>
      <c r="W479" s="32"/>
      <c r="X479" s="8"/>
      <c r="Y479" s="32"/>
      <c r="Z479" s="8"/>
      <c r="AA479" s="8"/>
    </row>
  </sheetData>
  <protectedRanges>
    <protectedRange algorithmName="SHA-512" hashValue="n6K25g9uzAcpntxjqTQaPVdKX1eij75CLB1gBuUNBybVL5B3VaxVW/Tcen54TXijIel0fCN9KO3xZiLZCJMSZw==" saltValue="89UdTK4UUElaUoKBccfOYw==" spinCount="100000" sqref="C3:D6" name="CIN CDP"/>
    <protectedRange algorithmName="SHA-512" hashValue="n6K25g9uzAcpntxjqTQaPVdKX1eij75CLB1gBuUNBybVL5B3VaxVW/Tcen54TXijIel0fCN9KO3xZiLZCJMSZw==" saltValue="89UdTK4UUElaUoKBccfOYw==" spinCount="100000" sqref="C7:D97" name="CIN CDP_1"/>
  </protectedRanges>
  <conditionalFormatting sqref="A45:A56">
    <cfRule type="expression" dxfId="1565" priority="1">
      <formula>$T45="Benzick, Sue"</formula>
    </cfRule>
    <cfRule type="expression" dxfId="1564" priority="2">
      <formula>$T45="Jenne, Richard"</formula>
    </cfRule>
    <cfRule type="expression" dxfId="1563" priority="3">
      <formula>$T45="McQueen, Jennifer"</formula>
    </cfRule>
  </conditionalFormatting>
  <conditionalFormatting sqref="A8:B25 A26:A27 A29:B33 A35:B37">
    <cfRule type="expression" dxfId="1562" priority="7">
      <formula>$T8="Benzick, Sue"</formula>
    </cfRule>
    <cfRule type="expression" dxfId="1561" priority="8">
      <formula>$T8="Jenne, Richard"</formula>
    </cfRule>
    <cfRule type="expression" dxfId="1560" priority="9">
      <formula>$T8="McQueen, Jennifer"</formula>
    </cfRule>
  </conditionalFormatting>
  <conditionalFormatting sqref="G7:I7 H8:I33 H34:N34 H35:I37 H38:N44 H45:I58 H59:N68 H69:I97">
    <cfRule type="expression" dxfId="1559" priority="4">
      <formula>#REF!="Benzick, Sue"</formula>
    </cfRule>
    <cfRule type="expression" dxfId="1558" priority="5">
      <formula>#REF!="Jenne, Richard"</formula>
    </cfRule>
    <cfRule type="expression" dxfId="1557" priority="6">
      <formula>#REF!="McQueen, Jennifer"</formula>
    </cfRule>
  </conditionalFormatting>
  <conditionalFormatting sqref="J7:N33 T7:T97 J35:N37 J45:N58 J69:N97">
    <cfRule type="expression" dxfId="1556" priority="10">
      <formula>$S7="Benzick, Sue"</formula>
    </cfRule>
    <cfRule type="expression" dxfId="1555" priority="11">
      <formula>$S7="Jenne, Richard"</formula>
    </cfRule>
    <cfRule type="expression" dxfId="1554" priority="12">
      <formula>$S7="McQueen, Jennifer"</formula>
    </cfRule>
  </conditionalFormatting>
  <conditionalFormatting sqref="Y7:Y97 W57:W97">
    <cfRule type="expression" dxfId="1553" priority="13">
      <formula>$X7="Benzick, Sue"</formula>
    </cfRule>
    <cfRule type="expression" dxfId="1552" priority="14">
      <formula>$X7="Jenne, Richard"</formula>
    </cfRule>
    <cfRule type="expression" dxfId="1551" priority="15">
      <formula>$X7="McQueen, Jennifer"</formula>
    </cfRule>
  </conditionalFormatting>
  <dataValidations count="3">
    <dataValidation allowBlank="1" showInputMessage="1" showErrorMessage="1" sqref="S7:S97" xr:uid="{AA1F1B04-2B72-48BE-9F70-B5D4DE815519}"/>
    <dataValidation type="list" allowBlank="1" showInputMessage="1" showErrorMessage="1" sqref="B99:B105 B107:B377 B4:B97" xr:uid="{359F152B-43BF-4681-94C7-0882BE25B1CB}">
      <formula1>Class</formula1>
    </dataValidation>
    <dataValidation type="list" allowBlank="1" showInputMessage="1" showErrorMessage="1" sqref="O99:O321" xr:uid="{4F9173FD-9C9A-4C7E-BDE1-700B1F43FCBE}">
      <formula1>Instructor</formula1>
    </dataValidation>
  </dataValidations>
  <printOptions horizontalCentered="1" verticalCentered="1"/>
  <pageMargins left="0.7" right="0.7" top="0.75" bottom="0.75" header="0.3" footer="0.3"/>
  <pageSetup paperSize="5" scale="35" fitToHeight="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BF3D5-DAA7-4486-84FD-CDCF9E55DC77}">
  <sheetPr>
    <pageSetUpPr fitToPage="1"/>
  </sheetPr>
  <dimension ref="A1:AA459"/>
  <sheetViews>
    <sheetView zoomScale="90" zoomScaleNormal="90" workbookViewId="0">
      <selection activeCell="P39" sqref="P39"/>
    </sheetView>
  </sheetViews>
  <sheetFormatPr defaultColWidth="8.7109375" defaultRowHeight="15" x14ac:dyDescent="0.25"/>
  <cols>
    <col min="1" max="1" width="30.42578125" style="8" customWidth="1"/>
    <col min="2" max="2" width="46.85546875" style="9" customWidth="1"/>
    <col min="3" max="3" width="14.28515625" style="2" customWidth="1"/>
    <col min="4" max="4" width="16.28515625" style="11" customWidth="1"/>
    <col min="5" max="5" width="21.7109375" style="9" customWidth="1"/>
    <col min="6" max="6" width="17" style="10" bestFit="1" customWidth="1"/>
    <col min="7" max="7" width="15.7109375" style="10" bestFit="1" customWidth="1"/>
    <col min="8" max="8" width="9.85546875" style="33" customWidth="1"/>
    <col min="9" max="9" width="9.7109375" style="33" customWidth="1"/>
    <col min="10" max="14" width="9.7109375" style="33" hidden="1" customWidth="1"/>
    <col min="15" max="15" width="20" style="9" hidden="1" customWidth="1"/>
    <col min="16" max="16" width="18.42578125" style="9" bestFit="1" customWidth="1"/>
    <col min="17" max="17" width="20.28515625" style="8" customWidth="1"/>
    <col min="18" max="18" width="22.42578125" style="8" customWidth="1"/>
    <col min="19" max="19" width="20.28515625" style="12" hidden="1" customWidth="1"/>
    <col min="20" max="20" width="16" style="32" hidden="1" customWidth="1"/>
    <col min="21" max="21" width="12.28515625" style="32" hidden="1" customWidth="1"/>
    <col min="22" max="22" width="16.42578125" style="32" hidden="1" customWidth="1"/>
    <col min="23" max="23" width="15.85546875" style="32" hidden="1" customWidth="1"/>
    <col min="24" max="24" width="16.5703125" style="8" hidden="1" customWidth="1"/>
    <col min="25" max="25" width="16" style="32" hidden="1" customWidth="1"/>
    <col min="26" max="27" width="11" style="8" hidden="1" customWidth="1"/>
    <col min="28" max="16384" width="8.7109375" style="8"/>
  </cols>
  <sheetData>
    <row r="1" spans="1:27" x14ac:dyDescent="0.25">
      <c r="A1" s="8" t="s">
        <v>466</v>
      </c>
      <c r="B1" s="8"/>
      <c r="H1" s="10"/>
      <c r="I1" s="10"/>
      <c r="J1" s="10"/>
      <c r="K1" s="10"/>
      <c r="L1" s="10"/>
      <c r="M1" s="10"/>
      <c r="N1" s="10"/>
    </row>
    <row r="2" spans="1:27" ht="8.4499999999999993" customHeight="1" x14ac:dyDescent="0.25">
      <c r="A2" s="9"/>
    </row>
    <row r="3" spans="1:27" s="30" customFormat="1" ht="72" customHeight="1" thickBot="1" x14ac:dyDescent="0.3">
      <c r="A3" s="26" t="s">
        <v>467</v>
      </c>
      <c r="B3" s="26" t="s">
        <v>188</v>
      </c>
      <c r="C3" s="26" t="s">
        <v>73</v>
      </c>
      <c r="D3" s="110" t="s">
        <v>189</v>
      </c>
      <c r="E3" s="26" t="s">
        <v>156</v>
      </c>
      <c r="F3" s="27" t="s">
        <v>190</v>
      </c>
      <c r="G3" s="27" t="s">
        <v>191</v>
      </c>
      <c r="H3" s="61" t="s">
        <v>192</v>
      </c>
      <c r="I3" s="61" t="s">
        <v>193</v>
      </c>
      <c r="J3" s="61" t="s">
        <v>194</v>
      </c>
      <c r="K3" s="61" t="s">
        <v>195</v>
      </c>
      <c r="L3" s="61" t="s">
        <v>196</v>
      </c>
      <c r="M3" s="61" t="s">
        <v>197</v>
      </c>
      <c r="N3" s="61" t="s">
        <v>198</v>
      </c>
      <c r="O3" s="26" t="s">
        <v>199</v>
      </c>
      <c r="P3" s="26" t="s">
        <v>200</v>
      </c>
      <c r="Q3" s="29" t="s">
        <v>201</v>
      </c>
      <c r="R3" s="29" t="s">
        <v>203</v>
      </c>
      <c r="S3" s="28" t="s">
        <v>207</v>
      </c>
      <c r="T3" s="28" t="s">
        <v>208</v>
      </c>
      <c r="U3" s="28" t="s">
        <v>13</v>
      </c>
      <c r="V3" s="28" t="s">
        <v>14</v>
      </c>
      <c r="W3" s="28" t="s">
        <v>209</v>
      </c>
      <c r="X3" s="28" t="s">
        <v>210</v>
      </c>
      <c r="Y3" s="28" t="s">
        <v>211</v>
      </c>
      <c r="Z3" s="28" t="s">
        <v>212</v>
      </c>
      <c r="AA3" s="28" t="s">
        <v>213</v>
      </c>
    </row>
    <row r="4" spans="1:27" s="93" customFormat="1" x14ac:dyDescent="0.25">
      <c r="A4" s="52"/>
      <c r="B4" s="86" t="s">
        <v>53</v>
      </c>
      <c r="C4" s="87" t="s">
        <v>148</v>
      </c>
      <c r="D4" s="87" t="s">
        <v>149</v>
      </c>
      <c r="E4" s="86" t="s">
        <v>239</v>
      </c>
      <c r="F4" s="89">
        <v>45789</v>
      </c>
      <c r="G4" s="89">
        <v>45793</v>
      </c>
      <c r="H4" s="92">
        <v>0.33333333333333331</v>
      </c>
      <c r="I4" s="88"/>
      <c r="J4" s="92"/>
      <c r="K4" s="92"/>
      <c r="L4" s="92"/>
      <c r="M4" s="92"/>
      <c r="N4" s="92"/>
      <c r="O4" s="86"/>
      <c r="P4" s="86"/>
      <c r="Q4" s="14">
        <v>30</v>
      </c>
      <c r="R4" s="14">
        <v>5</v>
      </c>
      <c r="S4" s="14"/>
      <c r="T4" s="90"/>
      <c r="U4" s="14"/>
      <c r="V4" s="14"/>
      <c r="W4" s="14"/>
      <c r="X4" s="86"/>
      <c r="Y4" s="59">
        <f ca="1">Table25[[#This Row],[End Date]]+2-TODAY()</f>
        <v>-23</v>
      </c>
      <c r="Z4" s="14">
        <f>IF(ISBLANK(Table25[[#This Row],[Roster Received By]]),1,0)</f>
        <v>1</v>
      </c>
      <c r="AA4" s="14">
        <f ca="1">IF(Table25[[#This Row],[Start Date]]&gt;TODAY(),1,)</f>
        <v>0</v>
      </c>
    </row>
    <row r="5" spans="1:27" s="93" customFormat="1" x14ac:dyDescent="0.25">
      <c r="A5" s="52"/>
      <c r="B5" s="86" t="s">
        <v>53</v>
      </c>
      <c r="C5" s="87" t="s">
        <v>148</v>
      </c>
      <c r="D5" s="87" t="s">
        <v>149</v>
      </c>
      <c r="E5" s="86" t="s">
        <v>276</v>
      </c>
      <c r="F5" s="89">
        <v>45670</v>
      </c>
      <c r="G5" s="89">
        <v>45674</v>
      </c>
      <c r="H5" s="92">
        <v>0.33333333333333331</v>
      </c>
      <c r="I5" s="88"/>
      <c r="J5" s="92"/>
      <c r="K5" s="92"/>
      <c r="L5" s="92"/>
      <c r="M5" s="92"/>
      <c r="N5" s="92"/>
      <c r="O5" s="86"/>
      <c r="P5" s="86"/>
      <c r="Q5" s="14">
        <v>30</v>
      </c>
      <c r="R5" s="14">
        <v>5</v>
      </c>
      <c r="S5" s="14"/>
      <c r="T5" s="90"/>
      <c r="U5" s="14"/>
      <c r="V5" s="14"/>
      <c r="W5" s="14"/>
      <c r="X5" s="86"/>
      <c r="Y5" s="59">
        <f ca="1">Table25[[#This Row],[End Date]]+2-TODAY()</f>
        <v>-142</v>
      </c>
      <c r="Z5" s="14">
        <f>IF(ISBLANK(Table25[[#This Row],[Roster Received By]]),1,0)</f>
        <v>1</v>
      </c>
      <c r="AA5" s="14">
        <f ca="1">IF(Table25[[#This Row],[Start Date]]&gt;TODAY(),1,)</f>
        <v>0</v>
      </c>
    </row>
    <row r="6" spans="1:27" s="93" customFormat="1" x14ac:dyDescent="0.25">
      <c r="A6" s="52"/>
      <c r="B6" s="86" t="s">
        <v>53</v>
      </c>
      <c r="C6" s="87" t="s">
        <v>148</v>
      </c>
      <c r="D6" s="87" t="s">
        <v>149</v>
      </c>
      <c r="E6" s="86" t="s">
        <v>161</v>
      </c>
      <c r="F6" s="89">
        <v>45894</v>
      </c>
      <c r="G6" s="89">
        <v>45898</v>
      </c>
      <c r="H6" s="92">
        <v>0.33333333333333331</v>
      </c>
      <c r="I6" s="92"/>
      <c r="J6" s="89"/>
      <c r="K6" s="89"/>
      <c r="L6" s="89"/>
      <c r="M6" s="89"/>
      <c r="N6" s="89"/>
      <c r="O6" s="86"/>
      <c r="P6" s="86"/>
      <c r="Q6" s="14">
        <v>30</v>
      </c>
      <c r="R6" s="14">
        <v>5</v>
      </c>
      <c r="S6" s="90"/>
      <c r="T6" s="90"/>
      <c r="U6" s="14"/>
      <c r="V6" s="14"/>
      <c r="W6" s="14"/>
      <c r="X6" s="86"/>
      <c r="Y6" s="59">
        <f ca="1">Table25[[#This Row],[End Date]]+2-TODAY()</f>
        <v>82</v>
      </c>
      <c r="Z6" s="14">
        <f>IF(ISBLANK(Table25[[#This Row],[Roster Received By]]),1,0)</f>
        <v>1</v>
      </c>
      <c r="AA6" s="14">
        <f ca="1">IF(Table25[[#This Row],[Start Date]]&gt;TODAY(),1,)</f>
        <v>1</v>
      </c>
    </row>
    <row r="7" spans="1:27" s="93" customFormat="1" hidden="1" x14ac:dyDescent="0.25">
      <c r="A7" s="52"/>
      <c r="B7" s="86" t="s">
        <v>42</v>
      </c>
      <c r="C7" s="87" t="s">
        <v>92</v>
      </c>
      <c r="D7" s="87">
        <v>3879</v>
      </c>
      <c r="E7" s="86" t="s">
        <v>86</v>
      </c>
      <c r="F7" s="89">
        <v>45700</v>
      </c>
      <c r="G7" s="89">
        <v>45700</v>
      </c>
      <c r="H7" s="92"/>
      <c r="I7" s="88">
        <v>0.75</v>
      </c>
      <c r="J7" s="89"/>
      <c r="K7" s="89"/>
      <c r="L7" s="89"/>
      <c r="M7" s="89"/>
      <c r="N7" s="89"/>
      <c r="O7" s="86"/>
      <c r="P7" s="86"/>
      <c r="Q7" s="90">
        <v>30</v>
      </c>
      <c r="R7" s="91">
        <v>1</v>
      </c>
      <c r="S7" s="90"/>
      <c r="T7" s="90"/>
      <c r="U7" s="14"/>
      <c r="V7" s="14"/>
      <c r="W7" s="87"/>
      <c r="X7" s="86"/>
      <c r="Y7" s="59">
        <f ca="1">Table25[[#This Row],[End Date]]+2-TODAY()</f>
        <v>-116</v>
      </c>
      <c r="Z7" s="14">
        <f>IF(ISBLANK(Table25[[#This Row],[Roster Received By]]),1,0)</f>
        <v>1</v>
      </c>
      <c r="AA7" s="14">
        <f ca="1">IF(Table25[[#This Row],[Start Date]]&gt;TODAY(),1,)</f>
        <v>0</v>
      </c>
    </row>
    <row r="8" spans="1:27" s="93" customFormat="1" hidden="1" x14ac:dyDescent="0.25">
      <c r="A8" s="52"/>
      <c r="B8" s="86" t="s">
        <v>42</v>
      </c>
      <c r="C8" s="87" t="s">
        <v>92</v>
      </c>
      <c r="D8" s="87">
        <v>3879</v>
      </c>
      <c r="E8" s="86" t="s">
        <v>86</v>
      </c>
      <c r="F8" s="89">
        <v>45882</v>
      </c>
      <c r="G8" s="89">
        <v>45882</v>
      </c>
      <c r="H8" s="92"/>
      <c r="I8" s="88">
        <v>0.75</v>
      </c>
      <c r="J8" s="89"/>
      <c r="K8" s="89"/>
      <c r="L8" s="89"/>
      <c r="M8" s="89"/>
      <c r="N8" s="89"/>
      <c r="O8" s="86"/>
      <c r="P8" s="86"/>
      <c r="Q8" s="90">
        <v>30</v>
      </c>
      <c r="R8" s="91">
        <v>1</v>
      </c>
      <c r="S8" s="90"/>
      <c r="T8" s="90"/>
      <c r="U8" s="14"/>
      <c r="V8" s="14"/>
      <c r="W8" s="87"/>
      <c r="X8" s="86"/>
      <c r="Y8" s="59">
        <f ca="1">Table25[[#This Row],[End Date]]+2-TODAY()</f>
        <v>66</v>
      </c>
      <c r="Z8" s="14">
        <f>IF(ISBLANK(Table25[[#This Row],[Roster Received By]]),1,0)</f>
        <v>1</v>
      </c>
      <c r="AA8" s="14">
        <f ca="1">IF(Table25[[#This Row],[Start Date]]&gt;TODAY(),1,)</f>
        <v>1</v>
      </c>
    </row>
    <row r="9" spans="1:27" s="93" customFormat="1" hidden="1" x14ac:dyDescent="0.25">
      <c r="A9" s="52"/>
      <c r="B9" s="86" t="s">
        <v>44</v>
      </c>
      <c r="C9" s="87" t="s">
        <v>95</v>
      </c>
      <c r="D9" s="87">
        <v>3888</v>
      </c>
      <c r="E9" s="86" t="s">
        <v>86</v>
      </c>
      <c r="F9" s="89">
        <v>45701</v>
      </c>
      <c r="G9" s="89">
        <v>45701</v>
      </c>
      <c r="H9" s="92"/>
      <c r="I9" s="88">
        <v>0.75</v>
      </c>
      <c r="J9" s="89"/>
      <c r="K9" s="89"/>
      <c r="L9" s="89"/>
      <c r="M9" s="89"/>
      <c r="N9" s="89"/>
      <c r="O9" s="86"/>
      <c r="P9" s="86"/>
      <c r="Q9" s="90">
        <v>30</v>
      </c>
      <c r="R9" s="91">
        <v>1</v>
      </c>
      <c r="S9" s="90"/>
      <c r="T9" s="90"/>
      <c r="U9" s="14"/>
      <c r="V9" s="14"/>
      <c r="W9" s="87"/>
      <c r="X9" s="86"/>
      <c r="Y9" s="59">
        <f ca="1">Table25[[#This Row],[End Date]]+2-TODAY()</f>
        <v>-115</v>
      </c>
      <c r="Z9" s="14">
        <f>IF(ISBLANK(Table25[[#This Row],[Roster Received By]]),1,0)</f>
        <v>1</v>
      </c>
      <c r="AA9" s="14">
        <f ca="1">IF(Table25[[#This Row],[Start Date]]&gt;TODAY(),1,)</f>
        <v>0</v>
      </c>
    </row>
    <row r="10" spans="1:27" s="93" customFormat="1" hidden="1" x14ac:dyDescent="0.25">
      <c r="A10" s="52"/>
      <c r="B10" s="86" t="s">
        <v>44</v>
      </c>
      <c r="C10" s="87" t="s">
        <v>95</v>
      </c>
      <c r="D10" s="87">
        <v>3888</v>
      </c>
      <c r="E10" s="86" t="s">
        <v>86</v>
      </c>
      <c r="F10" s="89">
        <v>45883</v>
      </c>
      <c r="G10" s="89">
        <v>45883</v>
      </c>
      <c r="H10" s="92"/>
      <c r="I10" s="88">
        <v>0.75</v>
      </c>
      <c r="J10" s="89"/>
      <c r="K10" s="89"/>
      <c r="L10" s="89"/>
      <c r="M10" s="89"/>
      <c r="N10" s="89"/>
      <c r="O10" s="86"/>
      <c r="P10" s="86"/>
      <c r="Q10" s="90">
        <v>30</v>
      </c>
      <c r="R10" s="91">
        <v>1</v>
      </c>
      <c r="S10" s="90"/>
      <c r="T10" s="90"/>
      <c r="U10" s="14"/>
      <c r="V10" s="14"/>
      <c r="W10" s="87"/>
      <c r="X10" s="86"/>
      <c r="Y10" s="59">
        <f ca="1">Table25[[#This Row],[End Date]]+2-TODAY()</f>
        <v>67</v>
      </c>
      <c r="Z10" s="14">
        <f>IF(ISBLANK(Table25[[#This Row],[Roster Received By]]),1,0)</f>
        <v>1</v>
      </c>
      <c r="AA10" s="14">
        <f ca="1">IF(Table25[[#This Row],[Start Date]]&gt;TODAY(),1,)</f>
        <v>1</v>
      </c>
    </row>
    <row r="11" spans="1:27" s="93" customFormat="1" hidden="1" x14ac:dyDescent="0.25">
      <c r="A11" s="52"/>
      <c r="B11" s="86" t="s">
        <v>46</v>
      </c>
      <c r="C11" s="87" t="s">
        <v>98</v>
      </c>
      <c r="D11" s="87" t="s">
        <v>99</v>
      </c>
      <c r="E11" s="86" t="s">
        <v>86</v>
      </c>
      <c r="F11" s="89">
        <v>45698</v>
      </c>
      <c r="G11" s="89">
        <v>45699</v>
      </c>
      <c r="H11" s="88"/>
      <c r="I11" s="88">
        <v>0.75</v>
      </c>
      <c r="J11" s="88"/>
      <c r="K11" s="88"/>
      <c r="L11" s="88"/>
      <c r="M11" s="88"/>
      <c r="N11" s="88"/>
      <c r="O11" s="86"/>
      <c r="P11" s="86"/>
      <c r="Q11" s="14">
        <v>30</v>
      </c>
      <c r="R11" s="14">
        <v>1</v>
      </c>
      <c r="S11" s="14"/>
      <c r="T11" s="90"/>
      <c r="U11" s="14"/>
      <c r="V11" s="14"/>
      <c r="W11" s="87"/>
      <c r="X11" s="86"/>
      <c r="Y11" s="59">
        <f ca="1">Table25[[#This Row],[End Date]]+2-TODAY()</f>
        <v>-117</v>
      </c>
      <c r="Z11" s="14">
        <f>IF(ISBLANK(Table25[[#This Row],[Roster Received By]]),1,0)</f>
        <v>1</v>
      </c>
      <c r="AA11" s="14">
        <f ca="1">IF(Table25[[#This Row],[Start Date]]&gt;TODAY(),1,)</f>
        <v>0</v>
      </c>
    </row>
    <row r="12" spans="1:27" s="93" customFormat="1" hidden="1" x14ac:dyDescent="0.25">
      <c r="A12" s="52"/>
      <c r="B12" s="86" t="s">
        <v>46</v>
      </c>
      <c r="C12" s="87" t="s">
        <v>98</v>
      </c>
      <c r="D12" s="87" t="s">
        <v>99</v>
      </c>
      <c r="E12" s="86" t="s">
        <v>86</v>
      </c>
      <c r="F12" s="89">
        <v>45880</v>
      </c>
      <c r="G12" s="89">
        <v>45881</v>
      </c>
      <c r="H12" s="88"/>
      <c r="I12" s="88">
        <v>0.75</v>
      </c>
      <c r="J12" s="89"/>
      <c r="K12" s="89"/>
      <c r="L12" s="89"/>
      <c r="M12" s="89"/>
      <c r="N12" s="89"/>
      <c r="O12" s="86"/>
      <c r="P12" s="86"/>
      <c r="Q12" s="90">
        <v>30</v>
      </c>
      <c r="R12" s="91">
        <v>1</v>
      </c>
      <c r="S12" s="90"/>
      <c r="T12" s="90"/>
      <c r="U12" s="14"/>
      <c r="V12" s="14"/>
      <c r="W12" s="87"/>
      <c r="X12" s="86"/>
      <c r="Y12" s="59">
        <f ca="1">Table25[[#This Row],[End Date]]+2-TODAY()</f>
        <v>65</v>
      </c>
      <c r="Z12" s="14">
        <f>IF(ISBLANK(Table25[[#This Row],[Roster Received By]]),1,0)</f>
        <v>1</v>
      </c>
      <c r="AA12" s="14">
        <f ca="1">IF(Table25[[#This Row],[Start Date]]&gt;TODAY(),1,)</f>
        <v>1</v>
      </c>
    </row>
    <row r="13" spans="1:27" s="93" customFormat="1" hidden="1" x14ac:dyDescent="0.25">
      <c r="A13" s="52"/>
      <c r="B13" s="86" t="s">
        <v>50</v>
      </c>
      <c r="C13" s="87" t="s">
        <v>134</v>
      </c>
      <c r="D13" s="87" t="s">
        <v>135</v>
      </c>
      <c r="E13" s="86" t="s">
        <v>86</v>
      </c>
      <c r="F13" s="89">
        <v>45580</v>
      </c>
      <c r="G13" s="89">
        <v>45582</v>
      </c>
      <c r="H13" s="89"/>
      <c r="I13" s="88">
        <v>0.5</v>
      </c>
      <c r="J13" s="88"/>
      <c r="K13" s="88"/>
      <c r="L13" s="88"/>
      <c r="M13" s="88"/>
      <c r="N13" s="88"/>
      <c r="O13" s="86"/>
      <c r="P13" s="86"/>
      <c r="Q13" s="199">
        <v>45</v>
      </c>
      <c r="R13" s="14">
        <v>3</v>
      </c>
      <c r="S13" s="14"/>
      <c r="T13" s="90"/>
      <c r="U13" s="14"/>
      <c r="V13" s="14"/>
      <c r="W13" s="14"/>
      <c r="X13" s="86"/>
      <c r="Y13" s="59">
        <f ca="1">Table25[[#This Row],[End Date]]+2-TODAY()</f>
        <v>-234</v>
      </c>
      <c r="Z13" s="14">
        <f>IF(ISBLANK(Table25[[#This Row],[Roster Received By]]),1,0)</f>
        <v>1</v>
      </c>
      <c r="AA13" s="14">
        <f ca="1">IF(Table25[[#This Row],[Start Date]]&gt;TODAY(),1,)</f>
        <v>0</v>
      </c>
    </row>
    <row r="14" spans="1:27" s="93" customFormat="1" hidden="1" x14ac:dyDescent="0.25">
      <c r="A14" s="52"/>
      <c r="B14" s="86" t="s">
        <v>50</v>
      </c>
      <c r="C14" s="87" t="s">
        <v>134</v>
      </c>
      <c r="D14" s="87" t="s">
        <v>135</v>
      </c>
      <c r="E14" s="86" t="s">
        <v>86</v>
      </c>
      <c r="F14" s="89">
        <v>45594</v>
      </c>
      <c r="G14" s="89">
        <v>45596</v>
      </c>
      <c r="H14" s="89"/>
      <c r="I14" s="88">
        <v>0.5</v>
      </c>
      <c r="J14" s="88"/>
      <c r="K14" s="88"/>
      <c r="L14" s="88"/>
      <c r="M14" s="88"/>
      <c r="N14" s="88"/>
      <c r="O14" s="86"/>
      <c r="P14" s="86"/>
      <c r="Q14" s="199">
        <v>45</v>
      </c>
      <c r="R14" s="14">
        <v>3</v>
      </c>
      <c r="S14" s="14"/>
      <c r="T14" s="90"/>
      <c r="U14" s="14"/>
      <c r="V14" s="14"/>
      <c r="W14" s="90"/>
      <c r="X14" s="86"/>
      <c r="Y14" s="59">
        <f ca="1">Table25[[#This Row],[End Date]]+2-TODAY()</f>
        <v>-220</v>
      </c>
      <c r="Z14" s="14">
        <f>IF(ISBLANK(Table25[[#This Row],[Roster Received By]]),1,0)</f>
        <v>1</v>
      </c>
      <c r="AA14" s="14">
        <f ca="1">IF(Table25[[#This Row],[Start Date]]&gt;TODAY(),1,)</f>
        <v>0</v>
      </c>
    </row>
    <row r="15" spans="1:27" s="122" customFormat="1" hidden="1" x14ac:dyDescent="0.25">
      <c r="A15" s="52"/>
      <c r="B15" s="103" t="s">
        <v>50</v>
      </c>
      <c r="C15" s="87" t="s">
        <v>134</v>
      </c>
      <c r="D15" s="87" t="s">
        <v>135</v>
      </c>
      <c r="E15" s="54" t="s">
        <v>86</v>
      </c>
      <c r="F15" s="89">
        <v>45608</v>
      </c>
      <c r="G15" s="89">
        <v>45610</v>
      </c>
      <c r="H15" s="95"/>
      <c r="I15" s="88">
        <v>0.5</v>
      </c>
      <c r="J15" s="89"/>
      <c r="K15" s="89"/>
      <c r="L15" s="89"/>
      <c r="M15" s="89"/>
      <c r="N15" s="89"/>
      <c r="O15" s="86"/>
      <c r="P15" s="86"/>
      <c r="Q15" s="199">
        <v>45</v>
      </c>
      <c r="R15" s="14">
        <v>3</v>
      </c>
      <c r="S15" s="14"/>
      <c r="T15" s="90"/>
      <c r="U15" s="14"/>
      <c r="V15" s="14"/>
      <c r="W15" s="90"/>
      <c r="X15" s="86"/>
      <c r="Y15" s="59">
        <f ca="1">Table25[[#This Row],[End Date]]+2-TODAY()</f>
        <v>-206</v>
      </c>
      <c r="Z15" s="14">
        <f>IF(ISBLANK(Table25[[#This Row],[Roster Received By]]),1,0)</f>
        <v>1</v>
      </c>
      <c r="AA15" s="14">
        <f ca="1">IF(Table25[[#This Row],[Start Date]]&gt;TODAY(),1,)</f>
        <v>0</v>
      </c>
    </row>
    <row r="16" spans="1:27" s="122" customFormat="1" hidden="1" x14ac:dyDescent="0.25">
      <c r="A16" s="52"/>
      <c r="B16" s="103" t="s">
        <v>50</v>
      </c>
      <c r="C16" s="87" t="s">
        <v>134</v>
      </c>
      <c r="D16" s="87" t="s">
        <v>135</v>
      </c>
      <c r="E16" s="86" t="s">
        <v>86</v>
      </c>
      <c r="F16" s="89">
        <v>45636</v>
      </c>
      <c r="G16" s="89">
        <v>45638</v>
      </c>
      <c r="H16" s="89"/>
      <c r="I16" s="88">
        <v>0.5</v>
      </c>
      <c r="J16" s="88"/>
      <c r="K16" s="88"/>
      <c r="L16" s="88"/>
      <c r="M16" s="88"/>
      <c r="N16" s="88"/>
      <c r="O16" s="86"/>
      <c r="P16" s="86"/>
      <c r="Q16" s="199">
        <v>45</v>
      </c>
      <c r="R16" s="14">
        <v>3</v>
      </c>
      <c r="S16" s="14"/>
      <c r="T16" s="90"/>
      <c r="U16" s="14"/>
      <c r="V16" s="14"/>
      <c r="W16" s="14"/>
      <c r="X16" s="86"/>
      <c r="Y16" s="59">
        <f ca="1">Table25[[#This Row],[End Date]]+2-TODAY()</f>
        <v>-178</v>
      </c>
      <c r="Z16" s="14">
        <f>IF(ISBLANK(Table25[[#This Row],[Roster Received By]]),1,0)</f>
        <v>1</v>
      </c>
      <c r="AA16" s="14">
        <f ca="1">IF(Table25[[#This Row],[Start Date]]&gt;TODAY(),1,)</f>
        <v>0</v>
      </c>
    </row>
    <row r="17" spans="1:27" s="123" customFormat="1" ht="13.5" hidden="1" customHeight="1" x14ac:dyDescent="0.25">
      <c r="A17" s="52"/>
      <c r="B17" s="104" t="s">
        <v>50</v>
      </c>
      <c r="C17" s="87" t="s">
        <v>134</v>
      </c>
      <c r="D17" s="87" t="s">
        <v>135</v>
      </c>
      <c r="E17" s="86" t="s">
        <v>86</v>
      </c>
      <c r="F17" s="89">
        <v>45664</v>
      </c>
      <c r="G17" s="89">
        <v>45666</v>
      </c>
      <c r="H17" s="89"/>
      <c r="I17" s="88">
        <v>0.5</v>
      </c>
      <c r="J17" s="88"/>
      <c r="K17" s="88"/>
      <c r="L17" s="88"/>
      <c r="M17" s="88"/>
      <c r="N17" s="88"/>
      <c r="O17" s="86"/>
      <c r="P17" s="86"/>
      <c r="Q17" s="199">
        <v>45</v>
      </c>
      <c r="R17" s="14">
        <v>3</v>
      </c>
      <c r="S17" s="14"/>
      <c r="T17" s="90"/>
      <c r="U17" s="14"/>
      <c r="V17" s="14"/>
      <c r="W17" s="14"/>
      <c r="X17" s="86"/>
      <c r="Y17" s="59">
        <f ca="1">Table25[[#This Row],[End Date]]+2-TODAY()</f>
        <v>-150</v>
      </c>
      <c r="Z17" s="14">
        <f>IF(ISBLANK(Table25[[#This Row],[Roster Received By]]),1,0)</f>
        <v>1</v>
      </c>
      <c r="AA17" s="14">
        <f ca="1">IF(Table25[[#This Row],[Start Date]]&gt;TODAY(),1,)</f>
        <v>0</v>
      </c>
    </row>
    <row r="18" spans="1:27" s="93" customFormat="1" hidden="1" x14ac:dyDescent="0.25">
      <c r="A18" s="52"/>
      <c r="B18" s="104" t="s">
        <v>50</v>
      </c>
      <c r="C18" s="87" t="s">
        <v>134</v>
      </c>
      <c r="D18" s="87" t="s">
        <v>135</v>
      </c>
      <c r="E18" s="86" t="s">
        <v>86</v>
      </c>
      <c r="F18" s="89">
        <v>45679</v>
      </c>
      <c r="G18" s="89">
        <v>45681</v>
      </c>
      <c r="H18" s="89"/>
      <c r="I18" s="88">
        <v>0.5</v>
      </c>
      <c r="J18" s="88"/>
      <c r="K18" s="88"/>
      <c r="L18" s="88"/>
      <c r="M18" s="88"/>
      <c r="N18" s="88"/>
      <c r="O18" s="86"/>
      <c r="P18" s="86"/>
      <c r="Q18" s="199">
        <v>45</v>
      </c>
      <c r="R18" s="14">
        <v>3</v>
      </c>
      <c r="S18" s="14"/>
      <c r="T18" s="90"/>
      <c r="U18" s="14"/>
      <c r="V18" s="14"/>
      <c r="W18" s="14"/>
      <c r="X18" s="86"/>
      <c r="Y18" s="59">
        <f ca="1">Table25[[#This Row],[End Date]]+2-TODAY()</f>
        <v>-135</v>
      </c>
      <c r="Z18" s="14">
        <f>IF(ISBLANK(Table25[[#This Row],[Roster Received By]]),1,0)</f>
        <v>1</v>
      </c>
      <c r="AA18" s="14">
        <f ca="1">IF(Table25[[#This Row],[Start Date]]&gt;TODAY(),1,)</f>
        <v>0</v>
      </c>
    </row>
    <row r="19" spans="1:27" s="93" customFormat="1" hidden="1" x14ac:dyDescent="0.25">
      <c r="A19" s="52"/>
      <c r="B19" s="86" t="s">
        <v>50</v>
      </c>
      <c r="C19" s="87" t="s">
        <v>134</v>
      </c>
      <c r="D19" s="87" t="s">
        <v>135</v>
      </c>
      <c r="E19" s="86" t="s">
        <v>86</v>
      </c>
      <c r="F19" s="89">
        <v>45706</v>
      </c>
      <c r="G19" s="89">
        <v>45708</v>
      </c>
      <c r="H19" s="95"/>
      <c r="I19" s="88">
        <v>0.5</v>
      </c>
      <c r="J19" s="89"/>
      <c r="K19" s="89"/>
      <c r="L19" s="89"/>
      <c r="M19" s="89"/>
      <c r="N19" s="89"/>
      <c r="O19" s="86"/>
      <c r="P19" s="86"/>
      <c r="Q19" s="199">
        <v>45</v>
      </c>
      <c r="R19" s="14">
        <v>3</v>
      </c>
      <c r="S19" s="14"/>
      <c r="T19" s="90"/>
      <c r="U19" s="14"/>
      <c r="V19" s="14"/>
      <c r="W19" s="14"/>
      <c r="X19" s="86"/>
      <c r="Y19" s="59">
        <f ca="1">Table25[[#This Row],[End Date]]+2-TODAY()</f>
        <v>-108</v>
      </c>
      <c r="Z19" s="14">
        <f>IF(ISBLANK(Table25[[#This Row],[Roster Received By]]),1,0)</f>
        <v>1</v>
      </c>
      <c r="AA19" s="14">
        <f ca="1">IF(Table25[[#This Row],[Start Date]]&gt;TODAY(),1,)</f>
        <v>0</v>
      </c>
    </row>
    <row r="20" spans="1:27" s="122" customFormat="1" hidden="1" x14ac:dyDescent="0.25">
      <c r="A20" s="86"/>
      <c r="B20" s="86" t="s">
        <v>50</v>
      </c>
      <c r="C20" s="87" t="s">
        <v>134</v>
      </c>
      <c r="D20" s="87" t="s">
        <v>135</v>
      </c>
      <c r="E20" s="86" t="s">
        <v>86</v>
      </c>
      <c r="F20" s="89">
        <v>45720</v>
      </c>
      <c r="G20" s="89">
        <v>45722</v>
      </c>
      <c r="H20" s="89"/>
      <c r="I20" s="88">
        <v>0.5</v>
      </c>
      <c r="J20" s="88"/>
      <c r="K20" s="88"/>
      <c r="L20" s="88"/>
      <c r="M20" s="88"/>
      <c r="N20" s="88"/>
      <c r="O20" s="86"/>
      <c r="P20" s="86"/>
      <c r="Q20" s="199">
        <v>45</v>
      </c>
      <c r="R20" s="14">
        <v>3</v>
      </c>
      <c r="S20" s="14"/>
      <c r="T20" s="90"/>
      <c r="U20" s="14"/>
      <c r="V20" s="14"/>
      <c r="W20" s="14"/>
      <c r="X20" s="86"/>
      <c r="Y20" s="59">
        <f ca="1">Table25[[#This Row],[End Date]]+2-TODAY()</f>
        <v>-94</v>
      </c>
      <c r="Z20" s="14">
        <f>IF(ISBLANK(Table25[[#This Row],[Roster Received By]]),1,0)</f>
        <v>1</v>
      </c>
      <c r="AA20" s="14">
        <f ca="1">IF(Table25[[#This Row],[Start Date]]&gt;TODAY(),1,)</f>
        <v>0</v>
      </c>
    </row>
    <row r="21" spans="1:27" s="93" customFormat="1" ht="14.25" hidden="1" customHeight="1" x14ac:dyDescent="0.25">
      <c r="A21" s="54"/>
      <c r="B21" s="86" t="s">
        <v>50</v>
      </c>
      <c r="C21" s="87" t="s">
        <v>134</v>
      </c>
      <c r="D21" s="87" t="s">
        <v>135</v>
      </c>
      <c r="E21" s="86" t="s">
        <v>86</v>
      </c>
      <c r="F21" s="89">
        <v>45734</v>
      </c>
      <c r="G21" s="89">
        <v>45736</v>
      </c>
      <c r="H21" s="92"/>
      <c r="I21" s="88">
        <v>0.5</v>
      </c>
      <c r="J21" s="92"/>
      <c r="K21" s="92"/>
      <c r="L21" s="92"/>
      <c r="M21" s="92"/>
      <c r="N21" s="92"/>
      <c r="O21" s="86"/>
      <c r="P21" s="86"/>
      <c r="Q21" s="199">
        <v>45</v>
      </c>
      <c r="R21" s="14">
        <v>3</v>
      </c>
      <c r="S21" s="90"/>
      <c r="T21" s="90"/>
      <c r="U21" s="14"/>
      <c r="V21" s="14"/>
      <c r="W21" s="14"/>
      <c r="X21" s="86"/>
      <c r="Y21" s="59">
        <f ca="1">Table25[[#This Row],[End Date]]+2-TODAY()</f>
        <v>-80</v>
      </c>
      <c r="Z21" s="14">
        <f>IF(ISBLANK(Table25[[#This Row],[Roster Received By]]),1,0)</f>
        <v>1</v>
      </c>
      <c r="AA21" s="14">
        <f ca="1">IF(Table25[[#This Row],[Start Date]]&gt;TODAY(),1,)</f>
        <v>0</v>
      </c>
    </row>
    <row r="22" spans="1:27" s="93" customFormat="1" ht="14.25" hidden="1" customHeight="1" x14ac:dyDescent="0.25">
      <c r="A22" s="52"/>
      <c r="B22" s="86" t="s">
        <v>50</v>
      </c>
      <c r="C22" s="87" t="s">
        <v>134</v>
      </c>
      <c r="D22" s="87" t="s">
        <v>135</v>
      </c>
      <c r="E22" s="86" t="s">
        <v>86</v>
      </c>
      <c r="F22" s="89">
        <v>45776</v>
      </c>
      <c r="G22" s="89">
        <v>45778</v>
      </c>
      <c r="H22" s="89"/>
      <c r="I22" s="88">
        <v>0.5</v>
      </c>
      <c r="J22" s="88"/>
      <c r="K22" s="88"/>
      <c r="L22" s="88"/>
      <c r="M22" s="88"/>
      <c r="N22" s="88"/>
      <c r="O22" s="86"/>
      <c r="P22" s="86"/>
      <c r="Q22" s="199">
        <v>45</v>
      </c>
      <c r="R22" s="14">
        <v>3</v>
      </c>
      <c r="S22" s="14"/>
      <c r="T22" s="90"/>
      <c r="U22" s="14"/>
      <c r="V22" s="14"/>
      <c r="W22" s="14"/>
      <c r="X22" s="86"/>
      <c r="Y22" s="59">
        <f ca="1">Table25[[#This Row],[End Date]]+2-TODAY()</f>
        <v>-38</v>
      </c>
      <c r="Z22" s="14">
        <f>IF(ISBLANK(Table25[[#This Row],[Roster Received By]]),1,0)</f>
        <v>1</v>
      </c>
      <c r="AA22" s="14">
        <f ca="1">IF(Table25[[#This Row],[Start Date]]&gt;TODAY(),1,)</f>
        <v>0</v>
      </c>
    </row>
    <row r="23" spans="1:27" s="93" customFormat="1" ht="14.25" hidden="1" customHeight="1" x14ac:dyDescent="0.25">
      <c r="A23" s="86"/>
      <c r="B23" s="86" t="s">
        <v>50</v>
      </c>
      <c r="C23" s="87" t="s">
        <v>134</v>
      </c>
      <c r="D23" s="87" t="s">
        <v>135</v>
      </c>
      <c r="E23" s="86" t="s">
        <v>86</v>
      </c>
      <c r="F23" s="89">
        <v>45790</v>
      </c>
      <c r="G23" s="89">
        <v>45792</v>
      </c>
      <c r="H23" s="89"/>
      <c r="I23" s="88">
        <v>0.5</v>
      </c>
      <c r="J23" s="88"/>
      <c r="K23" s="88"/>
      <c r="L23" s="88"/>
      <c r="M23" s="88"/>
      <c r="N23" s="88"/>
      <c r="O23" s="86"/>
      <c r="P23" s="86"/>
      <c r="Q23" s="199">
        <v>45</v>
      </c>
      <c r="R23" s="14">
        <v>3</v>
      </c>
      <c r="S23" s="14"/>
      <c r="T23" s="90"/>
      <c r="U23" s="14"/>
      <c r="V23" s="14"/>
      <c r="W23" s="14"/>
      <c r="X23" s="86"/>
      <c r="Y23" s="59">
        <f ca="1">Table25[[#This Row],[End Date]]+2-TODAY()</f>
        <v>-24</v>
      </c>
      <c r="Z23" s="14">
        <f>IF(ISBLANK(Table25[[#This Row],[Roster Received By]]),1,0)</f>
        <v>1</v>
      </c>
      <c r="AA23" s="14">
        <f ca="1">IF(Table25[[#This Row],[Start Date]]&gt;TODAY(),1,)</f>
        <v>0</v>
      </c>
    </row>
    <row r="24" spans="1:27" s="123" customFormat="1" ht="14.25" hidden="1" customHeight="1" x14ac:dyDescent="0.25">
      <c r="A24" s="52"/>
      <c r="B24" s="86" t="s">
        <v>50</v>
      </c>
      <c r="C24" s="87" t="s">
        <v>134</v>
      </c>
      <c r="D24" s="87" t="s">
        <v>135</v>
      </c>
      <c r="E24" s="86" t="s">
        <v>86</v>
      </c>
      <c r="F24" s="89">
        <v>45804</v>
      </c>
      <c r="G24" s="89">
        <v>45806</v>
      </c>
      <c r="H24" s="89"/>
      <c r="I24" s="88">
        <v>0.5</v>
      </c>
      <c r="J24" s="88"/>
      <c r="K24" s="88"/>
      <c r="L24" s="88"/>
      <c r="M24" s="88"/>
      <c r="N24" s="88"/>
      <c r="O24" s="86"/>
      <c r="P24" s="86"/>
      <c r="Q24" s="199">
        <v>45</v>
      </c>
      <c r="R24" s="14">
        <v>3</v>
      </c>
      <c r="S24" s="14"/>
      <c r="T24" s="90"/>
      <c r="U24" s="14"/>
      <c r="V24" s="14"/>
      <c r="W24" s="87"/>
      <c r="X24" s="86"/>
      <c r="Y24" s="59">
        <f ca="1">Table25[[#This Row],[End Date]]+2-TODAY()</f>
        <v>-10</v>
      </c>
      <c r="Z24" s="14">
        <f>IF(ISBLANK(Table25[[#This Row],[Roster Received By]]),1,0)</f>
        <v>1</v>
      </c>
      <c r="AA24" s="14">
        <f ca="1">IF(Table25[[#This Row],[Start Date]]&gt;TODAY(),1,)</f>
        <v>0</v>
      </c>
    </row>
    <row r="25" spans="1:27" s="93" customFormat="1" ht="14.25" hidden="1" customHeight="1" x14ac:dyDescent="0.25">
      <c r="A25" s="86"/>
      <c r="B25" s="86" t="s">
        <v>50</v>
      </c>
      <c r="C25" s="87" t="s">
        <v>134</v>
      </c>
      <c r="D25" s="87" t="s">
        <v>135</v>
      </c>
      <c r="E25" s="86" t="s">
        <v>86</v>
      </c>
      <c r="F25" s="89">
        <v>45818</v>
      </c>
      <c r="G25" s="89">
        <v>45820</v>
      </c>
      <c r="H25" s="92"/>
      <c r="I25" s="88">
        <v>0.5</v>
      </c>
      <c r="J25" s="88"/>
      <c r="K25" s="88"/>
      <c r="L25" s="88"/>
      <c r="M25" s="88"/>
      <c r="N25" s="88"/>
      <c r="O25" s="86"/>
      <c r="P25" s="86"/>
      <c r="Q25" s="199">
        <v>45</v>
      </c>
      <c r="R25" s="14">
        <v>3</v>
      </c>
      <c r="S25" s="90"/>
      <c r="T25" s="90"/>
      <c r="U25" s="14"/>
      <c r="V25" s="14"/>
      <c r="W25" s="14"/>
      <c r="X25" s="86"/>
      <c r="Y25" s="59">
        <f ca="1">Table25[[#This Row],[End Date]]+2-TODAY()</f>
        <v>4</v>
      </c>
      <c r="Z25" s="14">
        <f>IF(ISBLANK(Table25[[#This Row],[Roster Received By]]),1,0)</f>
        <v>1</v>
      </c>
      <c r="AA25" s="14">
        <f ca="1">IF(Table25[[#This Row],[Start Date]]&gt;TODAY(),1,)</f>
        <v>0</v>
      </c>
    </row>
    <row r="26" spans="1:27" s="93" customFormat="1" ht="14.25" hidden="1" customHeight="1" x14ac:dyDescent="0.25">
      <c r="A26" s="52"/>
      <c r="B26" s="86" t="s">
        <v>50</v>
      </c>
      <c r="C26" s="87" t="s">
        <v>134</v>
      </c>
      <c r="D26" s="87" t="s">
        <v>135</v>
      </c>
      <c r="E26" s="86" t="s">
        <v>86</v>
      </c>
      <c r="F26" s="89">
        <v>45838</v>
      </c>
      <c r="G26" s="89">
        <v>45840</v>
      </c>
      <c r="H26" s="89"/>
      <c r="I26" s="88">
        <v>0.5</v>
      </c>
      <c r="J26" s="88"/>
      <c r="K26" s="88"/>
      <c r="L26" s="88"/>
      <c r="M26" s="88"/>
      <c r="N26" s="88"/>
      <c r="O26" s="86"/>
      <c r="P26" s="86"/>
      <c r="Q26" s="199">
        <v>45</v>
      </c>
      <c r="R26" s="14">
        <v>3</v>
      </c>
      <c r="S26" s="14"/>
      <c r="T26" s="90"/>
      <c r="U26" s="14"/>
      <c r="V26" s="14"/>
      <c r="W26" s="14"/>
      <c r="X26" s="86"/>
      <c r="Y26" s="59">
        <f ca="1">Table25[[#This Row],[End Date]]+2-TODAY()</f>
        <v>24</v>
      </c>
      <c r="Z26" s="14">
        <f>IF(ISBLANK(Table25[[#This Row],[Roster Received By]]),1,0)</f>
        <v>1</v>
      </c>
      <c r="AA26" s="14">
        <f ca="1">IF(Table25[[#This Row],[Start Date]]&gt;TODAY(),1,)</f>
        <v>1</v>
      </c>
    </row>
    <row r="27" spans="1:27" s="93" customFormat="1" ht="14.25" hidden="1" customHeight="1" x14ac:dyDescent="0.25">
      <c r="A27" s="52"/>
      <c r="B27" s="86" t="s">
        <v>50</v>
      </c>
      <c r="C27" s="87" t="s">
        <v>134</v>
      </c>
      <c r="D27" s="87" t="s">
        <v>135</v>
      </c>
      <c r="E27" s="86" t="s">
        <v>86</v>
      </c>
      <c r="F27" s="89">
        <v>45853</v>
      </c>
      <c r="G27" s="89">
        <v>45855</v>
      </c>
      <c r="H27" s="89"/>
      <c r="I27" s="88">
        <v>0.5</v>
      </c>
      <c r="J27" s="88"/>
      <c r="K27" s="88"/>
      <c r="L27" s="88"/>
      <c r="M27" s="88"/>
      <c r="N27" s="88"/>
      <c r="O27" s="86"/>
      <c r="P27" s="86"/>
      <c r="Q27" s="199">
        <v>45</v>
      </c>
      <c r="R27" s="14">
        <v>3</v>
      </c>
      <c r="S27" s="14"/>
      <c r="T27" s="90"/>
      <c r="U27" s="14"/>
      <c r="V27" s="14"/>
      <c r="W27" s="14"/>
      <c r="X27" s="86"/>
      <c r="Y27" s="59">
        <f ca="1">Table25[[#This Row],[End Date]]+2-TODAY()</f>
        <v>39</v>
      </c>
      <c r="Z27" s="14">
        <f>IF(ISBLANK(Table25[[#This Row],[Roster Received By]]),1,0)</f>
        <v>1</v>
      </c>
      <c r="AA27" s="14">
        <f ca="1">IF(Table25[[#This Row],[Start Date]]&gt;TODAY(),1,)</f>
        <v>1</v>
      </c>
    </row>
    <row r="28" spans="1:27" s="93" customFormat="1" ht="14.25" hidden="1" customHeight="1" x14ac:dyDescent="0.25">
      <c r="A28" s="52"/>
      <c r="B28" s="86" t="s">
        <v>50</v>
      </c>
      <c r="C28" s="87" t="s">
        <v>134</v>
      </c>
      <c r="D28" s="87" t="s">
        <v>135</v>
      </c>
      <c r="E28" s="86" t="s">
        <v>86</v>
      </c>
      <c r="F28" s="89">
        <v>45874</v>
      </c>
      <c r="G28" s="89">
        <v>45876</v>
      </c>
      <c r="H28" s="92"/>
      <c r="I28" s="88">
        <v>0.5</v>
      </c>
      <c r="J28" s="89"/>
      <c r="K28" s="89"/>
      <c r="L28" s="89"/>
      <c r="M28" s="89"/>
      <c r="N28" s="89"/>
      <c r="O28" s="86"/>
      <c r="P28" s="86"/>
      <c r="Q28" s="199">
        <v>45</v>
      </c>
      <c r="R28" s="14">
        <v>3</v>
      </c>
      <c r="S28" s="14"/>
      <c r="T28" s="90"/>
      <c r="U28" s="14"/>
      <c r="V28" s="14"/>
      <c r="W28" s="14"/>
      <c r="X28" s="86"/>
      <c r="Y28" s="59">
        <f ca="1">Table25[[#This Row],[End Date]]+2-TODAY()</f>
        <v>60</v>
      </c>
      <c r="Z28" s="14">
        <f>IF(ISBLANK(Table25[[#This Row],[Roster Received By]]),1,0)</f>
        <v>1</v>
      </c>
      <c r="AA28" s="14">
        <f ca="1">IF(Table25[[#This Row],[Start Date]]&gt;TODAY(),1,)</f>
        <v>1</v>
      </c>
    </row>
    <row r="29" spans="1:27" s="93" customFormat="1" ht="14.25" hidden="1" customHeight="1" x14ac:dyDescent="0.25">
      <c r="A29" s="52"/>
      <c r="B29" s="86" t="s">
        <v>50</v>
      </c>
      <c r="C29" s="87" t="s">
        <v>134</v>
      </c>
      <c r="D29" s="87" t="s">
        <v>135</v>
      </c>
      <c r="E29" s="86" t="s">
        <v>86</v>
      </c>
      <c r="F29" s="89">
        <v>45888</v>
      </c>
      <c r="G29" s="89">
        <v>45890</v>
      </c>
      <c r="H29" s="92"/>
      <c r="I29" s="88">
        <v>0.5</v>
      </c>
      <c r="J29" s="92"/>
      <c r="K29" s="92"/>
      <c r="L29" s="92"/>
      <c r="M29" s="92"/>
      <c r="N29" s="92"/>
      <c r="O29" s="86"/>
      <c r="P29" s="86"/>
      <c r="Q29" s="199">
        <v>45</v>
      </c>
      <c r="R29" s="14">
        <v>3</v>
      </c>
      <c r="S29" s="14"/>
      <c r="T29" s="90"/>
      <c r="U29" s="14"/>
      <c r="V29" s="14"/>
      <c r="W29" s="14"/>
      <c r="X29" s="86"/>
      <c r="Y29" s="59">
        <f ca="1">Table25[[#This Row],[End Date]]+2-TODAY()</f>
        <v>74</v>
      </c>
      <c r="Z29" s="14">
        <f>IF(ISBLANK(Table25[[#This Row],[Roster Received By]]),1,0)</f>
        <v>1</v>
      </c>
      <c r="AA29" s="14">
        <f ca="1">IF(Table25[[#This Row],[Start Date]]&gt;TODAY(),1,)</f>
        <v>1</v>
      </c>
    </row>
    <row r="30" spans="1:27" s="93" customFormat="1" ht="14.25" hidden="1" customHeight="1" x14ac:dyDescent="0.25">
      <c r="A30" s="86"/>
      <c r="B30" s="86" t="s">
        <v>50</v>
      </c>
      <c r="C30" s="87" t="s">
        <v>134</v>
      </c>
      <c r="D30" s="87" t="s">
        <v>135</v>
      </c>
      <c r="E30" s="86" t="s">
        <v>86</v>
      </c>
      <c r="F30" s="89">
        <v>45902</v>
      </c>
      <c r="G30" s="89">
        <v>45904</v>
      </c>
      <c r="H30" s="92"/>
      <c r="I30" s="88">
        <v>0.5</v>
      </c>
      <c r="J30" s="92"/>
      <c r="K30" s="92"/>
      <c r="L30" s="92"/>
      <c r="M30" s="92"/>
      <c r="N30" s="92"/>
      <c r="O30" s="86"/>
      <c r="P30" s="86"/>
      <c r="Q30" s="199">
        <v>45</v>
      </c>
      <c r="R30" s="14">
        <v>3</v>
      </c>
      <c r="S30" s="14"/>
      <c r="T30" s="90"/>
      <c r="U30" s="14"/>
      <c r="V30" s="14"/>
      <c r="W30" s="14"/>
      <c r="X30" s="86"/>
      <c r="Y30" s="59">
        <f ca="1">Table25[[#This Row],[End Date]]+2-TODAY()</f>
        <v>88</v>
      </c>
      <c r="Z30" s="14">
        <f>IF(ISBLANK(Table25[[#This Row],[Roster Received By]]),1,0)</f>
        <v>1</v>
      </c>
      <c r="AA30" s="14">
        <f ca="1">IF(Table25[[#This Row],[Start Date]]&gt;TODAY(),1,)</f>
        <v>1</v>
      </c>
    </row>
    <row r="31" spans="1:27" s="93" customFormat="1" ht="14.25" hidden="1" customHeight="1" x14ac:dyDescent="0.25">
      <c r="A31" s="86"/>
      <c r="B31" s="86" t="s">
        <v>50</v>
      </c>
      <c r="C31" s="87" t="s">
        <v>134</v>
      </c>
      <c r="D31" s="87" t="s">
        <v>135</v>
      </c>
      <c r="E31" s="86" t="s">
        <v>86</v>
      </c>
      <c r="F31" s="89">
        <v>45916</v>
      </c>
      <c r="G31" s="89">
        <v>45918</v>
      </c>
      <c r="H31" s="95"/>
      <c r="I31" s="88">
        <v>0.5</v>
      </c>
      <c r="J31" s="89"/>
      <c r="K31" s="89"/>
      <c r="L31" s="89"/>
      <c r="M31" s="89"/>
      <c r="N31" s="89"/>
      <c r="O31" s="86"/>
      <c r="P31" s="86"/>
      <c r="Q31" s="199">
        <v>45</v>
      </c>
      <c r="R31" s="14">
        <v>3</v>
      </c>
      <c r="S31" s="14"/>
      <c r="T31" s="90"/>
      <c r="U31" s="14"/>
      <c r="V31" s="14"/>
      <c r="W31" s="14"/>
      <c r="X31" s="86"/>
      <c r="Y31" s="59">
        <f ca="1">Table25[[#This Row],[End Date]]+2-TODAY()</f>
        <v>102</v>
      </c>
      <c r="Z31" s="14">
        <f>IF(ISBLANK(Table25[[#This Row],[Roster Received By]]),1,0)</f>
        <v>1</v>
      </c>
      <c r="AA31" s="14">
        <f ca="1">IF(Table25[[#This Row],[Start Date]]&gt;TODAY(),1,)</f>
        <v>1</v>
      </c>
    </row>
    <row r="32" spans="1:27" s="93" customFormat="1" ht="14.25" hidden="1" customHeight="1" x14ac:dyDescent="0.25">
      <c r="A32" s="52"/>
      <c r="B32" s="86" t="s">
        <v>51</v>
      </c>
      <c r="C32" s="87" t="s">
        <v>136</v>
      </c>
      <c r="D32" s="87" t="s">
        <v>137</v>
      </c>
      <c r="E32" s="54" t="s">
        <v>86</v>
      </c>
      <c r="F32" s="56">
        <v>45580</v>
      </c>
      <c r="G32" s="89">
        <v>45583</v>
      </c>
      <c r="H32" s="92"/>
      <c r="I32" s="88">
        <v>0.5</v>
      </c>
      <c r="J32" s="89"/>
      <c r="K32" s="89"/>
      <c r="L32" s="89"/>
      <c r="M32" s="89"/>
      <c r="N32" s="89"/>
      <c r="O32" s="86"/>
      <c r="P32" s="86"/>
      <c r="Q32" s="199">
        <v>45</v>
      </c>
      <c r="R32" s="14">
        <v>4</v>
      </c>
      <c r="S32" s="14"/>
      <c r="T32" s="90"/>
      <c r="U32" s="14"/>
      <c r="V32" s="14"/>
      <c r="W32" s="14"/>
      <c r="X32" s="86"/>
      <c r="Y32" s="59">
        <f ca="1">Table25[[#This Row],[End Date]]+2-TODAY()</f>
        <v>-233</v>
      </c>
      <c r="Z32" s="14">
        <f>IF(ISBLANK(Table25[[#This Row],[Roster Received By]]),1,0)</f>
        <v>1</v>
      </c>
      <c r="AA32" s="14">
        <f ca="1">IF(Table25[[#This Row],[Start Date]]&gt;TODAY(),1,)</f>
        <v>0</v>
      </c>
    </row>
    <row r="33" spans="1:27" s="93" customFormat="1" ht="16.5" hidden="1" customHeight="1" x14ac:dyDescent="0.25">
      <c r="A33" s="52"/>
      <c r="B33" s="86" t="s">
        <v>51</v>
      </c>
      <c r="C33" s="87" t="s">
        <v>136</v>
      </c>
      <c r="D33" s="87" t="s">
        <v>137</v>
      </c>
      <c r="E33" s="86" t="s">
        <v>86</v>
      </c>
      <c r="F33" s="89">
        <v>45600</v>
      </c>
      <c r="G33" s="89">
        <v>45603</v>
      </c>
      <c r="H33" s="89"/>
      <c r="I33" s="88">
        <v>0.5</v>
      </c>
      <c r="J33" s="88"/>
      <c r="K33" s="88"/>
      <c r="L33" s="88"/>
      <c r="M33" s="88"/>
      <c r="N33" s="88"/>
      <c r="O33" s="86"/>
      <c r="P33" s="86"/>
      <c r="Q33" s="199">
        <v>45</v>
      </c>
      <c r="R33" s="14">
        <v>4</v>
      </c>
      <c r="S33" s="14"/>
      <c r="T33" s="90"/>
      <c r="U33" s="14"/>
      <c r="V33" s="14"/>
      <c r="W33" s="14"/>
      <c r="X33" s="86"/>
      <c r="Y33" s="59">
        <f ca="1">Table25[[#This Row],[End Date]]+2-TODAY()</f>
        <v>-213</v>
      </c>
      <c r="Z33" s="14">
        <f>IF(ISBLANK(Table25[[#This Row],[Roster Received By]]),1,0)</f>
        <v>1</v>
      </c>
      <c r="AA33" s="14">
        <f ca="1">IF(Table25[[#This Row],[Start Date]]&gt;TODAY(),1,)</f>
        <v>0</v>
      </c>
    </row>
    <row r="34" spans="1:27" s="93" customFormat="1" ht="16.5" hidden="1" customHeight="1" x14ac:dyDescent="0.25">
      <c r="A34" s="52"/>
      <c r="B34" s="86" t="s">
        <v>51</v>
      </c>
      <c r="C34" s="87" t="s">
        <v>136</v>
      </c>
      <c r="D34" s="87" t="s">
        <v>137</v>
      </c>
      <c r="E34" s="86" t="s">
        <v>86</v>
      </c>
      <c r="F34" s="89">
        <v>45614</v>
      </c>
      <c r="G34" s="89">
        <v>45617</v>
      </c>
      <c r="H34" s="89"/>
      <c r="I34" s="88">
        <v>0.5</v>
      </c>
      <c r="J34" s="88"/>
      <c r="K34" s="88"/>
      <c r="L34" s="88"/>
      <c r="M34" s="88"/>
      <c r="N34" s="88"/>
      <c r="O34" s="86"/>
      <c r="P34" s="86"/>
      <c r="Q34" s="199">
        <v>45</v>
      </c>
      <c r="R34" s="14">
        <v>4</v>
      </c>
      <c r="S34" s="14"/>
      <c r="T34" s="90"/>
      <c r="U34" s="14"/>
      <c r="V34" s="14"/>
      <c r="W34" s="14"/>
      <c r="X34" s="86"/>
      <c r="Y34" s="59">
        <f ca="1">Table25[[#This Row],[End Date]]+2-TODAY()</f>
        <v>-199</v>
      </c>
      <c r="Z34" s="14">
        <f>IF(ISBLANK(Table25[[#This Row],[Roster Received By]]),1,0)</f>
        <v>1</v>
      </c>
      <c r="AA34" s="14">
        <f ca="1">IF(Table25[[#This Row],[Start Date]]&gt;TODAY(),1,)</f>
        <v>0</v>
      </c>
    </row>
    <row r="35" spans="1:27" s="93" customFormat="1" ht="14.25" hidden="1" customHeight="1" x14ac:dyDescent="0.25">
      <c r="A35" s="52"/>
      <c r="B35" s="86" t="s">
        <v>51</v>
      </c>
      <c r="C35" s="87" t="s">
        <v>136</v>
      </c>
      <c r="D35" s="87" t="s">
        <v>137</v>
      </c>
      <c r="E35" s="86" t="s">
        <v>86</v>
      </c>
      <c r="F35" s="89">
        <v>45663</v>
      </c>
      <c r="G35" s="89">
        <v>45666</v>
      </c>
      <c r="H35" s="89"/>
      <c r="I35" s="88">
        <v>0.5</v>
      </c>
      <c r="J35" s="88"/>
      <c r="K35" s="88"/>
      <c r="L35" s="88"/>
      <c r="M35" s="88"/>
      <c r="N35" s="88"/>
      <c r="O35" s="86"/>
      <c r="P35" s="86"/>
      <c r="Q35" s="199">
        <v>45</v>
      </c>
      <c r="R35" s="14">
        <v>4</v>
      </c>
      <c r="S35" s="14"/>
      <c r="T35" s="90"/>
      <c r="U35" s="14"/>
      <c r="V35" s="14"/>
      <c r="W35" s="14"/>
      <c r="X35" s="86"/>
      <c r="Y35" s="59">
        <f ca="1">Table25[[#This Row],[End Date]]+2-TODAY()</f>
        <v>-150</v>
      </c>
      <c r="Z35" s="14">
        <f>IF(ISBLANK(Table25[[#This Row],[Roster Received By]]),1,0)</f>
        <v>1</v>
      </c>
      <c r="AA35" s="14">
        <f ca="1">IF(Table25[[#This Row],[Start Date]]&gt;TODAY(),1,)</f>
        <v>0</v>
      </c>
    </row>
    <row r="36" spans="1:27" s="93" customFormat="1" ht="14.25" hidden="1" customHeight="1" x14ac:dyDescent="0.25">
      <c r="A36" s="52"/>
      <c r="B36" s="86" t="s">
        <v>51</v>
      </c>
      <c r="C36" s="87" t="s">
        <v>136</v>
      </c>
      <c r="D36" s="87" t="s">
        <v>137</v>
      </c>
      <c r="E36" s="86" t="s">
        <v>86</v>
      </c>
      <c r="F36" s="89">
        <v>45678</v>
      </c>
      <c r="G36" s="89">
        <v>45681</v>
      </c>
      <c r="H36" s="89"/>
      <c r="I36" s="88">
        <v>0.5</v>
      </c>
      <c r="J36" s="88"/>
      <c r="K36" s="88"/>
      <c r="L36" s="88"/>
      <c r="M36" s="88"/>
      <c r="N36" s="88"/>
      <c r="O36" s="86"/>
      <c r="P36" s="86"/>
      <c r="Q36" s="199">
        <v>45</v>
      </c>
      <c r="R36" s="14">
        <v>4</v>
      </c>
      <c r="S36" s="14"/>
      <c r="T36" s="90"/>
      <c r="U36" s="14"/>
      <c r="V36" s="14"/>
      <c r="W36" s="14"/>
      <c r="X36" s="86"/>
      <c r="Y36" s="59">
        <f ca="1">Table25[[#This Row],[End Date]]+2-TODAY()</f>
        <v>-135</v>
      </c>
      <c r="Z36" s="14">
        <f>IF(ISBLANK(Table25[[#This Row],[Roster Received By]]),1,0)</f>
        <v>1</v>
      </c>
      <c r="AA36" s="14">
        <f ca="1">IF(Table25[[#This Row],[Start Date]]&gt;TODAY(),1,)</f>
        <v>0</v>
      </c>
    </row>
    <row r="37" spans="1:27" s="93" customFormat="1" ht="14.25" hidden="1" customHeight="1" x14ac:dyDescent="0.25">
      <c r="A37" s="52"/>
      <c r="B37" s="86" t="s">
        <v>51</v>
      </c>
      <c r="C37" s="87" t="s">
        <v>136</v>
      </c>
      <c r="D37" s="87" t="s">
        <v>137</v>
      </c>
      <c r="E37" s="86" t="s">
        <v>86</v>
      </c>
      <c r="F37" s="89">
        <v>45712</v>
      </c>
      <c r="G37" s="89">
        <v>45715</v>
      </c>
      <c r="H37" s="95"/>
      <c r="I37" s="88">
        <v>0.5</v>
      </c>
      <c r="J37" s="89"/>
      <c r="K37" s="89"/>
      <c r="L37" s="89"/>
      <c r="M37" s="89"/>
      <c r="N37" s="89"/>
      <c r="O37" s="86"/>
      <c r="P37" s="86"/>
      <c r="Q37" s="199">
        <v>45</v>
      </c>
      <c r="R37" s="14">
        <v>4</v>
      </c>
      <c r="S37" s="14"/>
      <c r="T37" s="90"/>
      <c r="U37" s="14"/>
      <c r="V37" s="14"/>
      <c r="W37" s="94"/>
      <c r="X37" s="86"/>
      <c r="Y37" s="59">
        <f ca="1">Table25[[#This Row],[End Date]]+2-TODAY()</f>
        <v>-101</v>
      </c>
      <c r="Z37" s="14">
        <f>IF(ISBLANK(Table25[[#This Row],[Roster Received By]]),1,0)</f>
        <v>1</v>
      </c>
      <c r="AA37" s="14">
        <f ca="1">IF(Table25[[#This Row],[Start Date]]&gt;TODAY(),1,)</f>
        <v>0</v>
      </c>
    </row>
    <row r="38" spans="1:27" s="93" customFormat="1" ht="14.25" hidden="1" customHeight="1" x14ac:dyDescent="0.25">
      <c r="A38" s="52"/>
      <c r="B38" s="86" t="s">
        <v>51</v>
      </c>
      <c r="C38" s="87" t="s">
        <v>136</v>
      </c>
      <c r="D38" s="87" t="s">
        <v>137</v>
      </c>
      <c r="E38" s="86" t="s">
        <v>86</v>
      </c>
      <c r="F38" s="89">
        <v>45740</v>
      </c>
      <c r="G38" s="89">
        <v>45743</v>
      </c>
      <c r="H38" s="89"/>
      <c r="I38" s="88">
        <v>0.5</v>
      </c>
      <c r="J38" s="88"/>
      <c r="K38" s="88"/>
      <c r="L38" s="88"/>
      <c r="M38" s="88"/>
      <c r="N38" s="88"/>
      <c r="O38" s="86"/>
      <c r="P38" s="86"/>
      <c r="Q38" s="199">
        <v>45</v>
      </c>
      <c r="R38" s="14">
        <v>4</v>
      </c>
      <c r="S38" s="14"/>
      <c r="T38" s="90"/>
      <c r="U38" s="14"/>
      <c r="V38" s="14"/>
      <c r="W38" s="14"/>
      <c r="X38" s="86"/>
      <c r="Y38" s="59">
        <f ca="1">Table25[[#This Row],[End Date]]+2-TODAY()</f>
        <v>-73</v>
      </c>
      <c r="Z38" s="14">
        <f>IF(ISBLANK(Table25[[#This Row],[Roster Received By]]),1,0)</f>
        <v>1</v>
      </c>
      <c r="AA38" s="14">
        <f ca="1">IF(Table25[[#This Row],[Start Date]]&gt;TODAY(),1,)</f>
        <v>0</v>
      </c>
    </row>
    <row r="39" spans="1:27" s="125" customFormat="1" ht="14.25" hidden="1" customHeight="1" x14ac:dyDescent="0.25">
      <c r="A39" s="52"/>
      <c r="B39" s="86" t="s">
        <v>51</v>
      </c>
      <c r="C39" s="87" t="s">
        <v>136</v>
      </c>
      <c r="D39" s="87" t="s">
        <v>137</v>
      </c>
      <c r="E39" s="86" t="s">
        <v>86</v>
      </c>
      <c r="F39" s="89">
        <v>45775</v>
      </c>
      <c r="G39" s="89">
        <v>45778</v>
      </c>
      <c r="H39" s="89"/>
      <c r="I39" s="88">
        <v>0.5</v>
      </c>
      <c r="J39" s="88"/>
      <c r="K39" s="88"/>
      <c r="L39" s="88"/>
      <c r="M39" s="88"/>
      <c r="N39" s="88"/>
      <c r="O39" s="86"/>
      <c r="P39" s="86"/>
      <c r="Q39" s="199">
        <v>45</v>
      </c>
      <c r="R39" s="14">
        <v>4</v>
      </c>
      <c r="S39" s="14"/>
      <c r="T39" s="90"/>
      <c r="U39" s="14"/>
      <c r="V39" s="14"/>
      <c r="W39" s="14"/>
      <c r="X39" s="86"/>
      <c r="Y39" s="59">
        <f ca="1">Table25[[#This Row],[End Date]]+2-TODAY()</f>
        <v>-38</v>
      </c>
      <c r="Z39" s="14">
        <f>IF(ISBLANK(Table25[[#This Row],[Roster Received By]]),1,0)</f>
        <v>1</v>
      </c>
      <c r="AA39" s="14">
        <f ca="1">IF(Table25[[#This Row],[Start Date]]&gt;TODAY(),1,)</f>
        <v>0</v>
      </c>
    </row>
    <row r="40" spans="1:27" s="93" customFormat="1" ht="16.5" hidden="1" customHeight="1" x14ac:dyDescent="0.25">
      <c r="A40" s="52"/>
      <c r="B40" s="86" t="s">
        <v>51</v>
      </c>
      <c r="C40" s="87" t="s">
        <v>136</v>
      </c>
      <c r="D40" s="87" t="s">
        <v>137</v>
      </c>
      <c r="E40" s="127" t="s">
        <v>86</v>
      </c>
      <c r="F40" s="89">
        <v>45796</v>
      </c>
      <c r="G40" s="89">
        <v>45799</v>
      </c>
      <c r="H40" s="89"/>
      <c r="I40" s="88">
        <v>0.5</v>
      </c>
      <c r="J40" s="88"/>
      <c r="K40" s="88"/>
      <c r="L40" s="88"/>
      <c r="M40" s="88"/>
      <c r="N40" s="88"/>
      <c r="O40" s="86"/>
      <c r="P40" s="86"/>
      <c r="Q40" s="199">
        <v>45</v>
      </c>
      <c r="R40" s="14">
        <v>4</v>
      </c>
      <c r="S40" s="14"/>
      <c r="T40" s="90"/>
      <c r="U40" s="14"/>
      <c r="V40" s="14"/>
      <c r="W40" s="14"/>
      <c r="X40" s="86"/>
      <c r="Y40" s="59">
        <f ca="1">Table25[[#This Row],[End Date]]+2-TODAY()</f>
        <v>-17</v>
      </c>
      <c r="Z40" s="14">
        <f>IF(ISBLANK(Table25[[#This Row],[Roster Received By]]),1,0)</f>
        <v>1</v>
      </c>
      <c r="AA40" s="14">
        <f ca="1">IF(Table25[[#This Row],[Start Date]]&gt;TODAY(),1,)</f>
        <v>0</v>
      </c>
    </row>
    <row r="41" spans="1:27" s="93" customFormat="1" ht="16.5" hidden="1" customHeight="1" x14ac:dyDescent="0.25">
      <c r="A41" s="52"/>
      <c r="B41" s="86" t="s">
        <v>51</v>
      </c>
      <c r="C41" s="87" t="s">
        <v>136</v>
      </c>
      <c r="D41" s="87" t="s">
        <v>137</v>
      </c>
      <c r="E41" s="54" t="s">
        <v>86</v>
      </c>
      <c r="F41" s="89">
        <v>45810</v>
      </c>
      <c r="G41" s="89">
        <v>45813</v>
      </c>
      <c r="H41" s="92"/>
      <c r="I41" s="88">
        <v>0.5</v>
      </c>
      <c r="J41" s="89"/>
      <c r="K41" s="89"/>
      <c r="L41" s="89"/>
      <c r="M41" s="89"/>
      <c r="N41" s="89"/>
      <c r="O41" s="86"/>
      <c r="P41" s="86"/>
      <c r="Q41" s="199">
        <v>45</v>
      </c>
      <c r="R41" s="14">
        <v>4</v>
      </c>
      <c r="S41" s="14"/>
      <c r="T41" s="90"/>
      <c r="U41" s="14"/>
      <c r="V41" s="14"/>
      <c r="W41" s="14"/>
      <c r="X41" s="86"/>
      <c r="Y41" s="59">
        <f ca="1">Table25[[#This Row],[End Date]]+2-TODAY()</f>
        <v>-3</v>
      </c>
      <c r="Z41" s="14">
        <f>IF(ISBLANK(Table25[[#This Row],[Roster Received By]]),1,0)</f>
        <v>1</v>
      </c>
      <c r="AA41" s="14">
        <f ca="1">IF(Table25[[#This Row],[Start Date]]&gt;TODAY(),1,)</f>
        <v>0</v>
      </c>
    </row>
    <row r="42" spans="1:27" s="93" customFormat="1" ht="14.25" hidden="1" customHeight="1" x14ac:dyDescent="0.25">
      <c r="A42" s="52"/>
      <c r="B42" s="86" t="s">
        <v>51</v>
      </c>
      <c r="C42" s="87" t="s">
        <v>136</v>
      </c>
      <c r="D42" s="87" t="s">
        <v>137</v>
      </c>
      <c r="E42" s="54" t="s">
        <v>86</v>
      </c>
      <c r="F42" s="89">
        <v>45831</v>
      </c>
      <c r="G42" s="89">
        <v>45834</v>
      </c>
      <c r="H42" s="92"/>
      <c r="I42" s="88">
        <v>0.5</v>
      </c>
      <c r="J42" s="89"/>
      <c r="K42" s="89"/>
      <c r="L42" s="89"/>
      <c r="M42" s="89"/>
      <c r="N42" s="89"/>
      <c r="O42" s="86"/>
      <c r="P42" s="86"/>
      <c r="Q42" s="199">
        <v>45</v>
      </c>
      <c r="R42" s="14">
        <v>4</v>
      </c>
      <c r="S42" s="14"/>
      <c r="T42" s="90"/>
      <c r="U42" s="14"/>
      <c r="V42" s="14"/>
      <c r="W42" s="14"/>
      <c r="X42" s="86"/>
      <c r="Y42" s="59">
        <f ca="1">Table25[[#This Row],[End Date]]+2-TODAY()</f>
        <v>18</v>
      </c>
      <c r="Z42" s="14">
        <f>IF(ISBLANK(Table25[[#This Row],[Roster Received By]]),1,0)</f>
        <v>1</v>
      </c>
      <c r="AA42" s="14">
        <f ca="1">IF(Table25[[#This Row],[Start Date]]&gt;TODAY(),1,)</f>
        <v>1</v>
      </c>
    </row>
    <row r="43" spans="1:27" s="93" customFormat="1" ht="14.25" hidden="1" customHeight="1" x14ac:dyDescent="0.25">
      <c r="A43" s="52"/>
      <c r="B43" s="86" t="s">
        <v>51</v>
      </c>
      <c r="C43" s="87" t="s">
        <v>136</v>
      </c>
      <c r="D43" s="87" t="s">
        <v>137</v>
      </c>
      <c r="E43" s="54" t="s">
        <v>86</v>
      </c>
      <c r="F43" s="56">
        <v>45845</v>
      </c>
      <c r="G43" s="89">
        <v>45848</v>
      </c>
      <c r="H43" s="92"/>
      <c r="I43" s="88">
        <v>0.5</v>
      </c>
      <c r="J43" s="89"/>
      <c r="K43" s="89"/>
      <c r="L43" s="89"/>
      <c r="M43" s="89"/>
      <c r="N43" s="89"/>
      <c r="O43" s="86"/>
      <c r="P43" s="86"/>
      <c r="Q43" s="199">
        <v>45</v>
      </c>
      <c r="R43" s="14">
        <v>4</v>
      </c>
      <c r="S43" s="14"/>
      <c r="T43" s="90"/>
      <c r="U43" s="14"/>
      <c r="V43" s="14"/>
      <c r="W43" s="14"/>
      <c r="X43" s="86"/>
      <c r="Y43" s="59">
        <f ca="1">Table25[[#This Row],[End Date]]+2-TODAY()</f>
        <v>32</v>
      </c>
      <c r="Z43" s="14">
        <f>IF(ISBLANK(Table25[[#This Row],[Roster Received By]]),1,0)</f>
        <v>1</v>
      </c>
      <c r="AA43" s="14">
        <f ca="1">IF(Table25[[#This Row],[Start Date]]&gt;TODAY(),1,)</f>
        <v>1</v>
      </c>
    </row>
    <row r="44" spans="1:27" s="93" customFormat="1" ht="14.25" hidden="1" customHeight="1" x14ac:dyDescent="0.25">
      <c r="A44" s="86"/>
      <c r="B44" s="86" t="s">
        <v>51</v>
      </c>
      <c r="C44" s="87" t="s">
        <v>136</v>
      </c>
      <c r="D44" s="87" t="s">
        <v>137</v>
      </c>
      <c r="E44" s="86" t="s">
        <v>86</v>
      </c>
      <c r="F44" s="89">
        <v>45859</v>
      </c>
      <c r="G44" s="89">
        <v>45862</v>
      </c>
      <c r="H44" s="92"/>
      <c r="I44" s="88">
        <v>0.5</v>
      </c>
      <c r="J44" s="92"/>
      <c r="K44" s="92"/>
      <c r="L44" s="92"/>
      <c r="M44" s="92"/>
      <c r="N44" s="92"/>
      <c r="O44" s="86"/>
      <c r="P44" s="86"/>
      <c r="Q44" s="199">
        <v>45</v>
      </c>
      <c r="R44" s="14">
        <v>4</v>
      </c>
      <c r="S44" s="14"/>
      <c r="T44" s="90"/>
      <c r="U44" s="14"/>
      <c r="V44" s="14"/>
      <c r="W44" s="14"/>
      <c r="X44" s="86"/>
      <c r="Y44" s="59">
        <f ca="1">Table25[[#This Row],[End Date]]+2-TODAY()</f>
        <v>46</v>
      </c>
      <c r="Z44" s="14">
        <f>IF(ISBLANK(Table25[[#This Row],[Roster Received By]]),1,0)</f>
        <v>1</v>
      </c>
      <c r="AA44" s="14">
        <f ca="1">IF(Table25[[#This Row],[Start Date]]&gt;TODAY(),1,)</f>
        <v>1</v>
      </c>
    </row>
    <row r="45" spans="1:27" s="93" customFormat="1" ht="16.5" hidden="1" customHeight="1" x14ac:dyDescent="0.25">
      <c r="A45" s="52"/>
      <c r="B45" s="86" t="s">
        <v>51</v>
      </c>
      <c r="C45" s="87" t="s">
        <v>136</v>
      </c>
      <c r="D45" s="87" t="s">
        <v>137</v>
      </c>
      <c r="E45" s="86" t="s">
        <v>86</v>
      </c>
      <c r="F45" s="89">
        <v>45887</v>
      </c>
      <c r="G45" s="89">
        <v>45890</v>
      </c>
      <c r="H45" s="89"/>
      <c r="I45" s="88">
        <v>0.5</v>
      </c>
      <c r="J45" s="88"/>
      <c r="K45" s="88"/>
      <c r="L45" s="88"/>
      <c r="M45" s="88"/>
      <c r="N45" s="88"/>
      <c r="O45" s="86"/>
      <c r="P45" s="86"/>
      <c r="Q45" s="199">
        <v>45</v>
      </c>
      <c r="R45" s="14">
        <v>4</v>
      </c>
      <c r="S45" s="14"/>
      <c r="T45" s="90"/>
      <c r="U45" s="14"/>
      <c r="V45" s="14"/>
      <c r="W45" s="14"/>
      <c r="X45" s="86"/>
      <c r="Y45" s="59">
        <f ca="1">Table25[[#This Row],[End Date]]+2-TODAY()</f>
        <v>74</v>
      </c>
      <c r="Z45" s="14">
        <f>IF(ISBLANK(Table25[[#This Row],[Roster Received By]]),1,0)</f>
        <v>1</v>
      </c>
      <c r="AA45" s="14">
        <f ca="1">IF(Table25[[#This Row],[Start Date]]&gt;TODAY(),1,)</f>
        <v>1</v>
      </c>
    </row>
    <row r="46" spans="1:27" s="93" customFormat="1" ht="16.5" hidden="1" customHeight="1" x14ac:dyDescent="0.25">
      <c r="A46" s="52"/>
      <c r="B46" s="86" t="s">
        <v>51</v>
      </c>
      <c r="C46" s="87" t="s">
        <v>136</v>
      </c>
      <c r="D46" s="87" t="s">
        <v>137</v>
      </c>
      <c r="E46" s="86" t="s">
        <v>86</v>
      </c>
      <c r="F46" s="89">
        <v>45902</v>
      </c>
      <c r="G46" s="89">
        <v>45905</v>
      </c>
      <c r="H46" s="89"/>
      <c r="I46" s="88">
        <v>0.5</v>
      </c>
      <c r="J46" s="88"/>
      <c r="K46" s="88"/>
      <c r="L46" s="88"/>
      <c r="M46" s="88"/>
      <c r="N46" s="88"/>
      <c r="O46" s="86"/>
      <c r="P46" s="86"/>
      <c r="Q46" s="199">
        <v>45</v>
      </c>
      <c r="R46" s="14">
        <v>4</v>
      </c>
      <c r="S46" s="14"/>
      <c r="T46" s="90"/>
      <c r="U46" s="14"/>
      <c r="V46" s="14"/>
      <c r="W46" s="14"/>
      <c r="X46" s="86"/>
      <c r="Y46" s="59">
        <f ca="1">Table25[[#This Row],[End Date]]+2-TODAY()</f>
        <v>89</v>
      </c>
      <c r="Z46" s="14">
        <f>IF(ISBLANK(Table25[[#This Row],[Roster Received By]]),1,0)</f>
        <v>1</v>
      </c>
      <c r="AA46" s="14">
        <f ca="1">IF(Table25[[#This Row],[Start Date]]&gt;TODAY(),1,)</f>
        <v>1</v>
      </c>
    </row>
    <row r="47" spans="1:27" s="93" customFormat="1" ht="14.25" hidden="1" customHeight="1" x14ac:dyDescent="0.25">
      <c r="A47" s="52"/>
      <c r="B47" s="86" t="s">
        <v>51</v>
      </c>
      <c r="C47" s="87" t="s">
        <v>136</v>
      </c>
      <c r="D47" s="87" t="s">
        <v>137</v>
      </c>
      <c r="E47" s="86" t="s">
        <v>86</v>
      </c>
      <c r="F47" s="97">
        <v>45922</v>
      </c>
      <c r="G47" s="97">
        <v>45925</v>
      </c>
      <c r="H47" s="89"/>
      <c r="I47" s="88">
        <v>0.5</v>
      </c>
      <c r="J47" s="88"/>
      <c r="K47" s="88"/>
      <c r="L47" s="88"/>
      <c r="M47" s="88"/>
      <c r="N47" s="88"/>
      <c r="O47" s="86"/>
      <c r="P47" s="86"/>
      <c r="Q47" s="199">
        <v>45</v>
      </c>
      <c r="R47" s="14">
        <v>4</v>
      </c>
      <c r="S47" s="14"/>
      <c r="T47" s="90"/>
      <c r="U47" s="14"/>
      <c r="V47" s="14"/>
      <c r="W47" s="14"/>
      <c r="X47" s="86"/>
      <c r="Y47" s="59">
        <f ca="1">Table25[[#This Row],[End Date]]+2-TODAY()</f>
        <v>109</v>
      </c>
      <c r="Z47" s="14">
        <f>IF(ISBLANK(Table25[[#This Row],[Roster Received By]]),1,0)</f>
        <v>1</v>
      </c>
      <c r="AA47" s="14">
        <f ca="1">IF(Table25[[#This Row],[Start Date]]&gt;TODAY(),1,)</f>
        <v>1</v>
      </c>
    </row>
    <row r="48" spans="1:27" s="93" customFormat="1" ht="14.25" hidden="1" customHeight="1" x14ac:dyDescent="0.25">
      <c r="A48" s="52"/>
      <c r="B48" s="86" t="s">
        <v>52</v>
      </c>
      <c r="C48" s="87" t="s">
        <v>143</v>
      </c>
      <c r="D48" s="87">
        <v>3555</v>
      </c>
      <c r="E48" s="86" t="s">
        <v>86</v>
      </c>
      <c r="F48" s="56">
        <v>45572</v>
      </c>
      <c r="G48" s="56">
        <v>45575</v>
      </c>
      <c r="H48" s="88"/>
      <c r="I48" s="88">
        <v>0.5</v>
      </c>
      <c r="J48" s="89"/>
      <c r="K48" s="89"/>
      <c r="L48" s="89"/>
      <c r="M48" s="89"/>
      <c r="N48" s="89"/>
      <c r="O48" s="86"/>
      <c r="P48" s="86"/>
      <c r="Q48" s="199">
        <v>45</v>
      </c>
      <c r="R48" s="14">
        <v>4</v>
      </c>
      <c r="S48" s="14"/>
      <c r="T48" s="90"/>
      <c r="U48" s="14"/>
      <c r="V48" s="14"/>
      <c r="W48" s="14"/>
      <c r="X48" s="86"/>
      <c r="Y48" s="59">
        <f ca="1">Table25[[#This Row],[End Date]]+2-TODAY()</f>
        <v>-241</v>
      </c>
      <c r="Z48" s="14">
        <f>IF(ISBLANK(Table25[[#This Row],[Roster Received By]]),1,0)</f>
        <v>1</v>
      </c>
      <c r="AA48" s="14">
        <f ca="1">IF(Table25[[#This Row],[Start Date]]&gt;TODAY(),1,)</f>
        <v>0</v>
      </c>
    </row>
    <row r="49" spans="1:27" s="93" customFormat="1" ht="14.25" hidden="1" customHeight="1" x14ac:dyDescent="0.25">
      <c r="A49" s="52"/>
      <c r="B49" s="86" t="s">
        <v>52</v>
      </c>
      <c r="C49" s="87" t="s">
        <v>143</v>
      </c>
      <c r="D49" s="87">
        <v>3555</v>
      </c>
      <c r="E49" s="54" t="s">
        <v>86</v>
      </c>
      <c r="F49" s="89">
        <v>45614</v>
      </c>
      <c r="G49" s="89">
        <v>45617</v>
      </c>
      <c r="H49" s="92"/>
      <c r="I49" s="88">
        <v>0.5</v>
      </c>
      <c r="J49" s="89"/>
      <c r="K49" s="89"/>
      <c r="L49" s="89"/>
      <c r="M49" s="89"/>
      <c r="N49" s="89"/>
      <c r="O49" s="86"/>
      <c r="P49" s="86"/>
      <c r="Q49" s="199">
        <v>45</v>
      </c>
      <c r="R49" s="14">
        <v>4</v>
      </c>
      <c r="S49" s="14"/>
      <c r="T49" s="90"/>
      <c r="U49" s="14"/>
      <c r="V49" s="14"/>
      <c r="W49" s="14"/>
      <c r="X49" s="86"/>
      <c r="Y49" s="59">
        <f ca="1">Table25[[#This Row],[End Date]]+2-TODAY()</f>
        <v>-199</v>
      </c>
      <c r="Z49" s="14">
        <f>IF(ISBLANK(Table25[[#This Row],[Roster Received By]]),1,0)</f>
        <v>1</v>
      </c>
      <c r="AA49" s="14">
        <f ca="1">IF(Table25[[#This Row],[Start Date]]&gt;TODAY(),1,)</f>
        <v>0</v>
      </c>
    </row>
    <row r="50" spans="1:27" s="93" customFormat="1" ht="14.25" hidden="1" customHeight="1" x14ac:dyDescent="0.25">
      <c r="A50" s="52"/>
      <c r="B50" s="86" t="s">
        <v>52</v>
      </c>
      <c r="C50" s="87" t="s">
        <v>143</v>
      </c>
      <c r="D50" s="87">
        <v>3555</v>
      </c>
      <c r="E50" s="86" t="s">
        <v>86</v>
      </c>
      <c r="F50" s="89">
        <v>45670</v>
      </c>
      <c r="G50" s="89">
        <v>45673</v>
      </c>
      <c r="H50" s="89"/>
      <c r="I50" s="88">
        <v>0.5</v>
      </c>
      <c r="J50" s="88"/>
      <c r="K50" s="88"/>
      <c r="L50" s="88"/>
      <c r="M50" s="88"/>
      <c r="N50" s="88"/>
      <c r="O50" s="86"/>
      <c r="P50" s="86"/>
      <c r="Q50" s="199">
        <v>45</v>
      </c>
      <c r="R50" s="14">
        <v>4</v>
      </c>
      <c r="S50" s="14"/>
      <c r="T50" s="90"/>
      <c r="U50" s="14"/>
      <c r="V50" s="14"/>
      <c r="W50" s="14"/>
      <c r="X50" s="86"/>
      <c r="Y50" s="59">
        <f ca="1">Table25[[#This Row],[End Date]]+2-TODAY()</f>
        <v>-143</v>
      </c>
      <c r="Z50" s="14">
        <f>IF(ISBLANK(Table25[[#This Row],[Roster Received By]]),1,0)</f>
        <v>1</v>
      </c>
      <c r="AA50" s="14">
        <f ca="1">IF(Table25[[#This Row],[Start Date]]&gt;TODAY(),1,)</f>
        <v>0</v>
      </c>
    </row>
    <row r="51" spans="1:27" s="126" customFormat="1" ht="14.25" hidden="1" customHeight="1" x14ac:dyDescent="0.25">
      <c r="A51" s="52"/>
      <c r="B51" s="86" t="s">
        <v>52</v>
      </c>
      <c r="C51" s="87" t="s">
        <v>143</v>
      </c>
      <c r="D51" s="87">
        <v>3555</v>
      </c>
      <c r="E51" s="86" t="s">
        <v>86</v>
      </c>
      <c r="F51" s="89">
        <v>45691</v>
      </c>
      <c r="G51" s="89">
        <v>45694</v>
      </c>
      <c r="H51" s="89"/>
      <c r="I51" s="88">
        <v>0.5</v>
      </c>
      <c r="J51" s="88"/>
      <c r="K51" s="88"/>
      <c r="L51" s="88"/>
      <c r="M51" s="88"/>
      <c r="N51" s="88"/>
      <c r="O51" s="86"/>
      <c r="P51" s="86"/>
      <c r="Q51" s="199">
        <v>45</v>
      </c>
      <c r="R51" s="14">
        <v>4</v>
      </c>
      <c r="S51" s="14"/>
      <c r="T51" s="90"/>
      <c r="U51" s="14"/>
      <c r="V51" s="14"/>
      <c r="W51" s="14"/>
      <c r="X51" s="86"/>
      <c r="Y51" s="59">
        <f ca="1">Table25[[#This Row],[End Date]]+2-TODAY()</f>
        <v>-122</v>
      </c>
      <c r="Z51" s="14">
        <f>IF(ISBLANK(Table25[[#This Row],[Roster Received By]]),1,0)</f>
        <v>1</v>
      </c>
      <c r="AA51" s="14">
        <f ca="1">IF(Table25[[#This Row],[Start Date]]&gt;TODAY(),1,)</f>
        <v>0</v>
      </c>
    </row>
    <row r="52" spans="1:27" s="122" customFormat="1" ht="14.25" hidden="1" customHeight="1" x14ac:dyDescent="0.25">
      <c r="A52" s="52"/>
      <c r="B52" s="86" t="s">
        <v>52</v>
      </c>
      <c r="C52" s="87" t="s">
        <v>143</v>
      </c>
      <c r="D52" s="87">
        <v>3555</v>
      </c>
      <c r="E52" s="86" t="s">
        <v>86</v>
      </c>
      <c r="F52" s="89">
        <v>45712</v>
      </c>
      <c r="G52" s="89">
        <v>45715</v>
      </c>
      <c r="H52" s="92"/>
      <c r="I52" s="88">
        <v>0.5</v>
      </c>
      <c r="J52" s="92"/>
      <c r="K52" s="92"/>
      <c r="L52" s="92"/>
      <c r="M52" s="92"/>
      <c r="N52" s="89"/>
      <c r="O52" s="86"/>
      <c r="P52" s="86"/>
      <c r="Q52" s="199">
        <v>45</v>
      </c>
      <c r="R52" s="14">
        <v>4</v>
      </c>
      <c r="S52" s="14"/>
      <c r="T52" s="90"/>
      <c r="U52" s="14"/>
      <c r="V52" s="14"/>
      <c r="W52" s="14"/>
      <c r="X52" s="86"/>
      <c r="Y52" s="59">
        <f ca="1">Table25[[#This Row],[End Date]]+2-TODAY()</f>
        <v>-101</v>
      </c>
      <c r="Z52" s="14">
        <f>IF(ISBLANK(Table25[[#This Row],[Roster Received By]]),1,0)</f>
        <v>1</v>
      </c>
      <c r="AA52" s="14">
        <f ca="1">IF(Table25[[#This Row],[Start Date]]&gt;TODAY(),1,)</f>
        <v>0</v>
      </c>
    </row>
    <row r="53" spans="1:27" s="122" customFormat="1" ht="14.25" hidden="1" customHeight="1" x14ac:dyDescent="0.25">
      <c r="A53" s="52"/>
      <c r="B53" s="86" t="s">
        <v>52</v>
      </c>
      <c r="C53" s="87" t="s">
        <v>143</v>
      </c>
      <c r="D53" s="87">
        <v>3555</v>
      </c>
      <c r="E53" s="86" t="s">
        <v>86</v>
      </c>
      <c r="F53" s="89">
        <v>45726</v>
      </c>
      <c r="G53" s="89">
        <v>45729</v>
      </c>
      <c r="H53" s="89"/>
      <c r="I53" s="88">
        <v>0.5</v>
      </c>
      <c r="J53" s="88"/>
      <c r="K53" s="88"/>
      <c r="L53" s="88"/>
      <c r="M53" s="88"/>
      <c r="N53" s="88"/>
      <c r="O53" s="86"/>
      <c r="P53" s="86"/>
      <c r="Q53" s="199">
        <v>45</v>
      </c>
      <c r="R53" s="14">
        <v>4</v>
      </c>
      <c r="S53" s="14"/>
      <c r="T53" s="90"/>
      <c r="U53" s="14"/>
      <c r="V53" s="14"/>
      <c r="W53" s="14"/>
      <c r="X53" s="86"/>
      <c r="Y53" s="59">
        <f ca="1">Table25[[#This Row],[End Date]]+2-TODAY()</f>
        <v>-87</v>
      </c>
      <c r="Z53" s="14">
        <f>IF(ISBLANK(Table25[[#This Row],[Roster Received By]]),1,0)</f>
        <v>1</v>
      </c>
      <c r="AA53" s="14">
        <f ca="1">IF(Table25[[#This Row],[Start Date]]&gt;TODAY(),1,)</f>
        <v>0</v>
      </c>
    </row>
    <row r="54" spans="1:27" s="93" customFormat="1" ht="14.25" hidden="1" customHeight="1" x14ac:dyDescent="0.25">
      <c r="A54" s="52"/>
      <c r="B54" s="86" t="s">
        <v>52</v>
      </c>
      <c r="C54" s="87" t="s">
        <v>143</v>
      </c>
      <c r="D54" s="87">
        <v>3555</v>
      </c>
      <c r="E54" s="86" t="s">
        <v>86</v>
      </c>
      <c r="F54" s="89">
        <v>45747</v>
      </c>
      <c r="G54" s="89">
        <v>45750</v>
      </c>
      <c r="H54" s="95"/>
      <c r="I54" s="88">
        <v>0.5</v>
      </c>
      <c r="J54" s="89"/>
      <c r="K54" s="89"/>
      <c r="L54" s="89"/>
      <c r="M54" s="89"/>
      <c r="N54" s="89"/>
      <c r="O54" s="86"/>
      <c r="P54" s="86"/>
      <c r="Q54" s="199">
        <v>45</v>
      </c>
      <c r="R54" s="14">
        <v>4</v>
      </c>
      <c r="S54" s="14"/>
      <c r="T54" s="90"/>
      <c r="U54" s="14"/>
      <c r="V54" s="14"/>
      <c r="W54" s="14"/>
      <c r="X54" s="86"/>
      <c r="Y54" s="59">
        <f ca="1">Table25[[#This Row],[End Date]]+2-TODAY()</f>
        <v>-66</v>
      </c>
      <c r="Z54" s="14">
        <f>IF(ISBLANK(Table25[[#This Row],[Roster Received By]]),1,0)</f>
        <v>1</v>
      </c>
      <c r="AA54" s="14">
        <f ca="1">IF(Table25[[#This Row],[Start Date]]&gt;TODAY(),1,)</f>
        <v>0</v>
      </c>
    </row>
    <row r="55" spans="1:27" s="93" customFormat="1" ht="14.25" hidden="1" customHeight="1" x14ac:dyDescent="0.25">
      <c r="A55" s="52"/>
      <c r="B55" s="86" t="s">
        <v>52</v>
      </c>
      <c r="C55" s="87" t="s">
        <v>143</v>
      </c>
      <c r="D55" s="87">
        <v>3555</v>
      </c>
      <c r="E55" s="54" t="s">
        <v>86</v>
      </c>
      <c r="F55" s="89">
        <v>45782</v>
      </c>
      <c r="G55" s="89">
        <v>45785</v>
      </c>
      <c r="H55" s="92"/>
      <c r="I55" s="88">
        <v>0.5</v>
      </c>
      <c r="J55" s="89"/>
      <c r="K55" s="89"/>
      <c r="L55" s="89"/>
      <c r="M55" s="89"/>
      <c r="N55" s="89"/>
      <c r="O55" s="86"/>
      <c r="P55" s="86"/>
      <c r="Q55" s="199">
        <v>45</v>
      </c>
      <c r="R55" s="14">
        <v>4</v>
      </c>
      <c r="S55" s="14"/>
      <c r="T55" s="90"/>
      <c r="U55" s="14"/>
      <c r="V55" s="14"/>
      <c r="W55" s="14"/>
      <c r="X55" s="86"/>
      <c r="Y55" s="59">
        <f ca="1">Table25[[#This Row],[End Date]]+2-TODAY()</f>
        <v>-31</v>
      </c>
      <c r="Z55" s="14">
        <f>IF(ISBLANK(Table25[[#This Row],[Roster Received By]]),1,0)</f>
        <v>1</v>
      </c>
      <c r="AA55" s="14">
        <f ca="1">IF(Table25[[#This Row],[Start Date]]&gt;TODAY(),1,)</f>
        <v>0</v>
      </c>
    </row>
    <row r="56" spans="1:27" s="93" customFormat="1" ht="14.25" hidden="1" customHeight="1" x14ac:dyDescent="0.25">
      <c r="A56" s="52"/>
      <c r="B56" s="86" t="s">
        <v>52</v>
      </c>
      <c r="C56" s="87" t="s">
        <v>143</v>
      </c>
      <c r="D56" s="87">
        <v>3555</v>
      </c>
      <c r="E56" s="54" t="s">
        <v>86</v>
      </c>
      <c r="F56" s="89">
        <v>45804</v>
      </c>
      <c r="G56" s="89">
        <v>45807</v>
      </c>
      <c r="H56" s="92"/>
      <c r="I56" s="88">
        <v>0.5</v>
      </c>
      <c r="J56" s="89"/>
      <c r="K56" s="89"/>
      <c r="L56" s="89"/>
      <c r="M56" s="89"/>
      <c r="N56" s="89"/>
      <c r="O56" s="86"/>
      <c r="P56" s="86"/>
      <c r="Q56" s="199">
        <v>45</v>
      </c>
      <c r="R56" s="14">
        <v>4</v>
      </c>
      <c r="S56" s="14"/>
      <c r="T56" s="90"/>
      <c r="U56" s="14"/>
      <c r="V56" s="14"/>
      <c r="W56" s="14"/>
      <c r="X56" s="86"/>
      <c r="Y56" s="59">
        <f ca="1">Table25[[#This Row],[End Date]]+2-TODAY()</f>
        <v>-9</v>
      </c>
      <c r="Z56" s="14">
        <f>IF(ISBLANK(Table25[[#This Row],[Roster Received By]]),1,0)</f>
        <v>1</v>
      </c>
      <c r="AA56" s="14">
        <f ca="1">IF(Table25[[#This Row],[Start Date]]&gt;TODAY(),1,)</f>
        <v>0</v>
      </c>
    </row>
    <row r="57" spans="1:27" s="93" customFormat="1" ht="14.25" hidden="1" customHeight="1" x14ac:dyDescent="0.25">
      <c r="A57" s="52"/>
      <c r="B57" s="86" t="s">
        <v>52</v>
      </c>
      <c r="C57" s="87" t="s">
        <v>143</v>
      </c>
      <c r="D57" s="87">
        <v>3555</v>
      </c>
      <c r="E57" s="86" t="s">
        <v>86</v>
      </c>
      <c r="F57" s="89">
        <v>45817</v>
      </c>
      <c r="G57" s="89">
        <v>45820</v>
      </c>
      <c r="H57" s="89"/>
      <c r="I57" s="88">
        <v>0.5</v>
      </c>
      <c r="J57" s="88"/>
      <c r="K57" s="88"/>
      <c r="L57" s="88"/>
      <c r="M57" s="88"/>
      <c r="N57" s="88"/>
      <c r="O57" s="86"/>
      <c r="P57" s="86"/>
      <c r="Q57" s="199">
        <v>45</v>
      </c>
      <c r="R57" s="14">
        <v>4</v>
      </c>
      <c r="S57" s="14"/>
      <c r="T57" s="90"/>
      <c r="U57" s="14"/>
      <c r="V57" s="14"/>
      <c r="W57" s="14"/>
      <c r="X57" s="86"/>
      <c r="Y57" s="59">
        <f ca="1">Table25[[#This Row],[End Date]]+2-TODAY()</f>
        <v>4</v>
      </c>
      <c r="Z57" s="14">
        <f>IF(ISBLANK(Table25[[#This Row],[Roster Received By]]),1,0)</f>
        <v>1</v>
      </c>
      <c r="AA57" s="14">
        <f ca="1">IF(Table25[[#This Row],[Start Date]]&gt;TODAY(),1,)</f>
        <v>0</v>
      </c>
    </row>
    <row r="58" spans="1:27" s="93" customFormat="1" ht="14.25" hidden="1" customHeight="1" x14ac:dyDescent="0.25">
      <c r="A58" s="52"/>
      <c r="B58" s="86" t="s">
        <v>52</v>
      </c>
      <c r="C58" s="87" t="s">
        <v>143</v>
      </c>
      <c r="D58" s="87">
        <v>3555</v>
      </c>
      <c r="E58" s="86" t="s">
        <v>86</v>
      </c>
      <c r="F58" s="89">
        <v>45831</v>
      </c>
      <c r="G58" s="89">
        <v>45834</v>
      </c>
      <c r="H58" s="92"/>
      <c r="I58" s="88">
        <v>0.5</v>
      </c>
      <c r="J58" s="89"/>
      <c r="K58" s="89"/>
      <c r="L58" s="89"/>
      <c r="M58" s="89"/>
      <c r="N58" s="89"/>
      <c r="O58" s="86"/>
      <c r="P58" s="86"/>
      <c r="Q58" s="199">
        <v>45</v>
      </c>
      <c r="R58" s="14">
        <v>4</v>
      </c>
      <c r="S58" s="14"/>
      <c r="T58" s="90"/>
      <c r="U58" s="14"/>
      <c r="V58" s="14"/>
      <c r="W58" s="14"/>
      <c r="X58" s="86"/>
      <c r="Y58" s="59">
        <f ca="1">Table25[[#This Row],[End Date]]+2-TODAY()</f>
        <v>18</v>
      </c>
      <c r="Z58" s="14">
        <f>IF(ISBLANK(Table25[[#This Row],[Roster Received By]]),1,0)</f>
        <v>1</v>
      </c>
      <c r="AA58" s="14">
        <f ca="1">IF(Table25[[#This Row],[Start Date]]&gt;TODAY(),1,)</f>
        <v>1</v>
      </c>
    </row>
    <row r="59" spans="1:27" s="93" customFormat="1" ht="16.5" hidden="1" customHeight="1" x14ac:dyDescent="0.25">
      <c r="A59" s="52"/>
      <c r="B59" s="86" t="s">
        <v>52</v>
      </c>
      <c r="C59" s="87" t="s">
        <v>143</v>
      </c>
      <c r="D59" s="87">
        <v>3555</v>
      </c>
      <c r="E59" s="86" t="s">
        <v>86</v>
      </c>
      <c r="F59" s="56">
        <v>45866</v>
      </c>
      <c r="G59" s="56">
        <v>45869</v>
      </c>
      <c r="H59" s="56"/>
      <c r="I59" s="88">
        <v>0.5</v>
      </c>
      <c r="J59" s="88"/>
      <c r="K59" s="88"/>
      <c r="L59" s="88"/>
      <c r="M59" s="88"/>
      <c r="N59" s="88"/>
      <c r="O59" s="86"/>
      <c r="P59" s="86"/>
      <c r="Q59" s="199">
        <v>45</v>
      </c>
      <c r="R59" s="14">
        <v>4</v>
      </c>
      <c r="S59" s="14"/>
      <c r="T59" s="90"/>
      <c r="U59" s="14"/>
      <c r="V59" s="14"/>
      <c r="W59" s="14"/>
      <c r="X59" s="86"/>
      <c r="Y59" s="59">
        <f ca="1">Table25[[#This Row],[End Date]]+2-TODAY()</f>
        <v>53</v>
      </c>
      <c r="Z59" s="14">
        <f>IF(ISBLANK(Table25[[#This Row],[Roster Received By]]),1,0)</f>
        <v>1</v>
      </c>
      <c r="AA59" s="14">
        <f ca="1">IF(Table25[[#This Row],[Start Date]]&gt;TODAY(),1,)</f>
        <v>1</v>
      </c>
    </row>
    <row r="60" spans="1:27" s="93" customFormat="1" ht="14.25" hidden="1" customHeight="1" x14ac:dyDescent="0.25">
      <c r="A60" s="52"/>
      <c r="B60" s="86" t="s">
        <v>52</v>
      </c>
      <c r="C60" s="87" t="s">
        <v>143</v>
      </c>
      <c r="D60" s="87">
        <v>3555</v>
      </c>
      <c r="E60" s="86" t="s">
        <v>86</v>
      </c>
      <c r="F60" s="89">
        <v>45880</v>
      </c>
      <c r="G60" s="89">
        <v>45883</v>
      </c>
      <c r="H60" s="89"/>
      <c r="I60" s="88">
        <v>0.5</v>
      </c>
      <c r="J60" s="88"/>
      <c r="K60" s="88"/>
      <c r="L60" s="88"/>
      <c r="M60" s="88"/>
      <c r="N60" s="88"/>
      <c r="O60" s="86"/>
      <c r="P60" s="86"/>
      <c r="Q60" s="199">
        <v>45</v>
      </c>
      <c r="R60" s="14">
        <v>4</v>
      </c>
      <c r="S60" s="14"/>
      <c r="T60" s="90"/>
      <c r="U60" s="14"/>
      <c r="V60" s="14"/>
      <c r="W60" s="14"/>
      <c r="X60" s="86"/>
      <c r="Y60" s="59">
        <f ca="1">Table25[[#This Row],[End Date]]+2-TODAY()</f>
        <v>67</v>
      </c>
      <c r="Z60" s="14">
        <f>IF(ISBLANK(Table25[[#This Row],[Roster Received By]]),1,0)</f>
        <v>1</v>
      </c>
      <c r="AA60" s="14">
        <f ca="1">IF(Table25[[#This Row],[Start Date]]&gt;TODAY(),1,)</f>
        <v>1</v>
      </c>
    </row>
    <row r="61" spans="1:27" s="93" customFormat="1" ht="16.5" hidden="1" customHeight="1" x14ac:dyDescent="0.25">
      <c r="A61" s="52"/>
      <c r="B61" s="86" t="s">
        <v>52</v>
      </c>
      <c r="C61" s="87" t="s">
        <v>143</v>
      </c>
      <c r="D61" s="87">
        <v>3555</v>
      </c>
      <c r="E61" s="86" t="s">
        <v>86</v>
      </c>
      <c r="F61" s="89">
        <v>45894</v>
      </c>
      <c r="G61" s="89">
        <v>45897</v>
      </c>
      <c r="H61" s="89"/>
      <c r="I61" s="88">
        <v>0.5</v>
      </c>
      <c r="J61" s="88"/>
      <c r="K61" s="88"/>
      <c r="L61" s="88"/>
      <c r="M61" s="88"/>
      <c r="N61" s="88"/>
      <c r="O61" s="86"/>
      <c r="P61" s="86"/>
      <c r="Q61" s="199">
        <v>45</v>
      </c>
      <c r="R61" s="14">
        <v>4</v>
      </c>
      <c r="S61" s="14"/>
      <c r="T61" s="90"/>
      <c r="U61" s="14"/>
      <c r="V61" s="14"/>
      <c r="W61" s="14"/>
      <c r="X61" s="86"/>
      <c r="Y61" s="59">
        <f ca="1">Table25[[#This Row],[End Date]]+2-TODAY()</f>
        <v>81</v>
      </c>
      <c r="Z61" s="14">
        <f>IF(ISBLANK(Table25[[#This Row],[Roster Received By]]),1,0)</f>
        <v>1</v>
      </c>
      <c r="AA61" s="14">
        <f ca="1">IF(Table25[[#This Row],[Start Date]]&gt;TODAY(),1,)</f>
        <v>1</v>
      </c>
    </row>
    <row r="62" spans="1:27" s="122" customFormat="1" ht="14.25" hidden="1" customHeight="1" x14ac:dyDescent="0.25">
      <c r="A62" s="52"/>
      <c r="B62" s="86" t="s">
        <v>52</v>
      </c>
      <c r="C62" s="87" t="s">
        <v>143</v>
      </c>
      <c r="D62" s="87">
        <v>3555</v>
      </c>
      <c r="E62" s="86" t="s">
        <v>86</v>
      </c>
      <c r="F62" s="89">
        <v>45908</v>
      </c>
      <c r="G62" s="89">
        <v>45911</v>
      </c>
      <c r="H62" s="89"/>
      <c r="I62" s="88">
        <v>0.5</v>
      </c>
      <c r="J62" s="88"/>
      <c r="K62" s="88"/>
      <c r="L62" s="88"/>
      <c r="M62" s="88"/>
      <c r="N62" s="88"/>
      <c r="O62" s="86"/>
      <c r="P62" s="86"/>
      <c r="Q62" s="199">
        <v>45</v>
      </c>
      <c r="R62" s="14">
        <v>4</v>
      </c>
      <c r="S62" s="14"/>
      <c r="T62" s="90"/>
      <c r="U62" s="14"/>
      <c r="V62" s="14"/>
      <c r="W62" s="94"/>
      <c r="X62" s="86"/>
      <c r="Y62" s="59">
        <f ca="1">Table25[[#This Row],[End Date]]+2-TODAY()</f>
        <v>95</v>
      </c>
      <c r="Z62" s="14">
        <f>IF(ISBLANK(Table25[[#This Row],[Roster Received By]]),1,0)</f>
        <v>1</v>
      </c>
      <c r="AA62" s="14">
        <f ca="1">IF(Table25[[#This Row],[Start Date]]&gt;TODAY(),1,)</f>
        <v>1</v>
      </c>
    </row>
    <row r="63" spans="1:27" s="93" customFormat="1" ht="14.25" hidden="1" customHeight="1" x14ac:dyDescent="0.25">
      <c r="A63" s="52"/>
      <c r="B63" s="86" t="s">
        <v>52</v>
      </c>
      <c r="C63" s="87" t="s">
        <v>143</v>
      </c>
      <c r="D63" s="87">
        <v>3555</v>
      </c>
      <c r="E63" s="86" t="s">
        <v>86</v>
      </c>
      <c r="F63" s="89">
        <v>45922</v>
      </c>
      <c r="G63" s="89">
        <v>45925</v>
      </c>
      <c r="H63" s="92"/>
      <c r="I63" s="88">
        <v>0.5</v>
      </c>
      <c r="J63" s="89"/>
      <c r="K63" s="89"/>
      <c r="L63" s="89"/>
      <c r="M63" s="89"/>
      <c r="N63" s="89"/>
      <c r="O63" s="86"/>
      <c r="P63" s="86"/>
      <c r="Q63" s="199">
        <v>45</v>
      </c>
      <c r="R63" s="14">
        <v>4</v>
      </c>
      <c r="S63" s="14"/>
      <c r="T63" s="90"/>
      <c r="U63" s="14"/>
      <c r="V63" s="14"/>
      <c r="W63" s="14"/>
      <c r="X63" s="86"/>
      <c r="Y63" s="59">
        <f ca="1">Table25[[#This Row],[End Date]]+2-TODAY()</f>
        <v>109</v>
      </c>
      <c r="Z63" s="14">
        <f>IF(ISBLANK(Table25[[#This Row],[Roster Received By]]),1,0)</f>
        <v>1</v>
      </c>
      <c r="AA63" s="14">
        <f ca="1">IF(Table25[[#This Row],[Start Date]]&gt;TODAY(),1,)</f>
        <v>1</v>
      </c>
    </row>
    <row r="64" spans="1:27" s="93" customFormat="1" ht="14.25" hidden="1" customHeight="1" x14ac:dyDescent="0.25">
      <c r="A64" s="52"/>
      <c r="B64" s="124" t="s">
        <v>49</v>
      </c>
      <c r="C64" s="87" t="s">
        <v>133</v>
      </c>
      <c r="D64" s="87">
        <v>5891</v>
      </c>
      <c r="E64" s="86" t="s">
        <v>162</v>
      </c>
      <c r="F64" s="89">
        <v>45804</v>
      </c>
      <c r="G64" s="89">
        <v>45806</v>
      </c>
      <c r="H64" s="92">
        <v>0.33333333333333331</v>
      </c>
      <c r="I64" s="88"/>
      <c r="J64" s="88"/>
      <c r="K64" s="88"/>
      <c r="L64" s="88"/>
      <c r="M64" s="88"/>
      <c r="N64" s="88"/>
      <c r="O64" s="86"/>
      <c r="P64" s="86"/>
      <c r="Q64" s="14">
        <v>25</v>
      </c>
      <c r="R64" s="14">
        <v>3</v>
      </c>
      <c r="S64" s="14"/>
      <c r="T64" s="90"/>
      <c r="U64" s="14"/>
      <c r="V64" s="14"/>
      <c r="W64" s="91"/>
      <c r="X64" s="86"/>
      <c r="Y64" s="59">
        <f ca="1">Table25[[#This Row],[End Date]]+2-TODAY()</f>
        <v>-10</v>
      </c>
      <c r="Z64" s="14">
        <f>IF(ISBLANK(Table25[[#This Row],[Roster Received By]]),1,0)</f>
        <v>1</v>
      </c>
      <c r="AA64" s="14">
        <f ca="1">IF(Table25[[#This Row],[Start Date]]&gt;TODAY(),1,)</f>
        <v>0</v>
      </c>
    </row>
    <row r="65" spans="1:27" s="93" customFormat="1" ht="14.25" customHeight="1" x14ac:dyDescent="0.25">
      <c r="A65" s="52"/>
      <c r="B65" s="86" t="s">
        <v>53</v>
      </c>
      <c r="C65" s="87" t="s">
        <v>148</v>
      </c>
      <c r="D65" s="87" t="s">
        <v>149</v>
      </c>
      <c r="E65" s="86" t="s">
        <v>163</v>
      </c>
      <c r="F65" s="89">
        <v>45628</v>
      </c>
      <c r="G65" s="89">
        <v>45632</v>
      </c>
      <c r="H65" s="92">
        <v>0.33333333333333331</v>
      </c>
      <c r="I65" s="88"/>
      <c r="J65" s="92"/>
      <c r="K65" s="92"/>
      <c r="L65" s="92"/>
      <c r="M65" s="92"/>
      <c r="N65" s="92"/>
      <c r="O65" s="86"/>
      <c r="P65" s="86"/>
      <c r="Q65" s="14">
        <v>30</v>
      </c>
      <c r="R65" s="14">
        <v>5</v>
      </c>
      <c r="S65" s="14"/>
      <c r="T65" s="90"/>
      <c r="U65" s="14"/>
      <c r="V65" s="14"/>
      <c r="W65" s="87"/>
      <c r="X65" s="86"/>
      <c r="Y65" s="59">
        <f ca="1">Table25[[#This Row],[End Date]]+2-TODAY()</f>
        <v>-184</v>
      </c>
      <c r="Z65" s="14">
        <f>IF(ISBLANK(Table25[[#This Row],[Roster Received By]]),1,0)</f>
        <v>1</v>
      </c>
      <c r="AA65" s="14">
        <f ca="1">IF(Table25[[#This Row],[Start Date]]&gt;TODAY(),1,)</f>
        <v>0</v>
      </c>
    </row>
    <row r="66" spans="1:27" s="93" customFormat="1" ht="14.25" customHeight="1" x14ac:dyDescent="0.25">
      <c r="A66" s="52"/>
      <c r="B66" s="86" t="s">
        <v>53</v>
      </c>
      <c r="C66" s="87" t="s">
        <v>148</v>
      </c>
      <c r="D66" s="87" t="s">
        <v>149</v>
      </c>
      <c r="E66" s="86" t="s">
        <v>164</v>
      </c>
      <c r="F66" s="89">
        <v>45796</v>
      </c>
      <c r="G66" s="89">
        <v>45800</v>
      </c>
      <c r="H66" s="92">
        <v>0.33333333333333331</v>
      </c>
      <c r="I66" s="92"/>
      <c r="J66" s="89"/>
      <c r="K66" s="89"/>
      <c r="L66" s="89"/>
      <c r="M66" s="89"/>
      <c r="N66" s="89"/>
      <c r="O66" s="86"/>
      <c r="P66" s="86"/>
      <c r="Q66" s="14">
        <v>30</v>
      </c>
      <c r="R66" s="14">
        <v>5</v>
      </c>
      <c r="S66" s="14"/>
      <c r="T66" s="90"/>
      <c r="U66" s="14"/>
      <c r="V66" s="14"/>
      <c r="W66" s="14"/>
      <c r="X66" s="86"/>
      <c r="Y66" s="59">
        <f ca="1">Table25[[#This Row],[End Date]]+2-TODAY()</f>
        <v>-16</v>
      </c>
      <c r="Z66" s="14">
        <f>IF(ISBLANK(Table25[[#This Row],[Roster Received By]]),1,0)</f>
        <v>1</v>
      </c>
      <c r="AA66" s="14">
        <f ca="1">IF(Table25[[#This Row],[Start Date]]&gt;TODAY(),1,)</f>
        <v>0</v>
      </c>
    </row>
    <row r="67" spans="1:27" s="93" customFormat="1" ht="14.25" hidden="1" customHeight="1" x14ac:dyDescent="0.25">
      <c r="A67" s="52"/>
      <c r="B67" s="86" t="s">
        <v>49</v>
      </c>
      <c r="C67" s="87" t="s">
        <v>133</v>
      </c>
      <c r="D67" s="87">
        <v>5891</v>
      </c>
      <c r="E67" s="86" t="s">
        <v>165</v>
      </c>
      <c r="F67" s="89">
        <v>45839</v>
      </c>
      <c r="G67" s="89">
        <v>45841</v>
      </c>
      <c r="H67" s="92">
        <v>0.33333333333333331</v>
      </c>
      <c r="I67" s="88"/>
      <c r="J67" s="88"/>
      <c r="K67" s="88"/>
      <c r="L67" s="88"/>
      <c r="M67" s="88"/>
      <c r="N67" s="88"/>
      <c r="O67" s="86"/>
      <c r="P67" s="86"/>
      <c r="Q67" s="14">
        <v>25</v>
      </c>
      <c r="R67" s="14">
        <v>3</v>
      </c>
      <c r="S67" s="14"/>
      <c r="T67" s="90"/>
      <c r="U67" s="14"/>
      <c r="V67" s="14"/>
      <c r="W67" s="14"/>
      <c r="X67" s="86"/>
      <c r="Y67" s="59">
        <f ca="1">Table25[[#This Row],[End Date]]+2-TODAY()</f>
        <v>25</v>
      </c>
      <c r="Z67" s="14">
        <f>IF(ISBLANK(Table25[[#This Row],[Roster Received By]]),1,0)</f>
        <v>1</v>
      </c>
      <c r="AA67" s="14">
        <f ca="1">IF(Table25[[#This Row],[Start Date]]&gt;TODAY(),1,)</f>
        <v>1</v>
      </c>
    </row>
    <row r="68" spans="1:27" s="93" customFormat="1" ht="14.25" customHeight="1" x14ac:dyDescent="0.25">
      <c r="A68" s="52"/>
      <c r="B68" s="86" t="s">
        <v>53</v>
      </c>
      <c r="C68" s="87" t="s">
        <v>148</v>
      </c>
      <c r="D68" s="87" t="s">
        <v>149</v>
      </c>
      <c r="E68" s="86" t="s">
        <v>165</v>
      </c>
      <c r="F68" s="56">
        <v>45845</v>
      </c>
      <c r="G68" s="56">
        <v>45849</v>
      </c>
      <c r="H68" s="92">
        <v>0.33333333333333331</v>
      </c>
      <c r="I68" s="88"/>
      <c r="J68" s="88"/>
      <c r="K68" s="88"/>
      <c r="L68" s="88"/>
      <c r="M68" s="88"/>
      <c r="N68" s="88"/>
      <c r="O68" s="86"/>
      <c r="P68" s="86"/>
      <c r="Q68" s="14">
        <v>30</v>
      </c>
      <c r="R68" s="14">
        <v>5</v>
      </c>
      <c r="S68" s="14"/>
      <c r="T68" s="90"/>
      <c r="U68" s="14"/>
      <c r="V68" s="14"/>
      <c r="W68" s="14"/>
      <c r="X68" s="86"/>
      <c r="Y68" s="59">
        <f ca="1">Table25[[#This Row],[End Date]]+2-TODAY()</f>
        <v>33</v>
      </c>
      <c r="Z68" s="14">
        <f>IF(ISBLANK(Table25[[#This Row],[Roster Received By]]),1,0)</f>
        <v>1</v>
      </c>
      <c r="AA68" s="14">
        <f ca="1">IF(Table25[[#This Row],[Start Date]]&gt;TODAY(),1,)</f>
        <v>1</v>
      </c>
    </row>
    <row r="69" spans="1:27" s="93" customFormat="1" ht="14.25" customHeight="1" x14ac:dyDescent="0.25">
      <c r="A69" s="52"/>
      <c r="B69" s="86" t="s">
        <v>53</v>
      </c>
      <c r="C69" s="87" t="s">
        <v>148</v>
      </c>
      <c r="D69" s="87" t="s">
        <v>149</v>
      </c>
      <c r="E69" s="86" t="s">
        <v>166</v>
      </c>
      <c r="F69" s="89">
        <v>45684</v>
      </c>
      <c r="G69" s="89">
        <v>45688</v>
      </c>
      <c r="H69" s="92">
        <v>0.33333333333333331</v>
      </c>
      <c r="I69" s="88"/>
      <c r="J69" s="92"/>
      <c r="K69" s="92"/>
      <c r="L69" s="92"/>
      <c r="M69" s="92"/>
      <c r="N69" s="92"/>
      <c r="O69" s="86"/>
      <c r="P69" s="86"/>
      <c r="Q69" s="14">
        <v>30</v>
      </c>
      <c r="R69" s="14">
        <v>5</v>
      </c>
      <c r="S69" s="14"/>
      <c r="T69" s="90"/>
      <c r="U69" s="14"/>
      <c r="V69" s="14"/>
      <c r="W69" s="14"/>
      <c r="X69" s="86"/>
      <c r="Y69" s="59">
        <f ca="1">Table25[[#This Row],[End Date]]+2-TODAY()</f>
        <v>-128</v>
      </c>
      <c r="Z69" s="14">
        <f>IF(ISBLANK(Table25[[#This Row],[Roster Received By]]),1,0)</f>
        <v>1</v>
      </c>
      <c r="AA69" s="14">
        <f ca="1">IF(Table25[[#This Row],[Start Date]]&gt;TODAY(),1,)</f>
        <v>0</v>
      </c>
    </row>
    <row r="70" spans="1:27" s="93" customFormat="1" ht="14.25" customHeight="1" x14ac:dyDescent="0.25">
      <c r="A70" s="52"/>
      <c r="B70" s="86" t="s">
        <v>53</v>
      </c>
      <c r="C70" s="87" t="s">
        <v>148</v>
      </c>
      <c r="D70" s="87" t="s">
        <v>149</v>
      </c>
      <c r="E70" s="86" t="s">
        <v>166</v>
      </c>
      <c r="F70" s="56">
        <v>45831</v>
      </c>
      <c r="G70" s="56">
        <v>45835</v>
      </c>
      <c r="H70" s="92">
        <v>0.33333333333333331</v>
      </c>
      <c r="I70" s="88"/>
      <c r="J70" s="88"/>
      <c r="K70" s="88"/>
      <c r="L70" s="88"/>
      <c r="M70" s="88"/>
      <c r="N70" s="88"/>
      <c r="O70" s="86"/>
      <c r="P70" s="86"/>
      <c r="Q70" s="14">
        <v>30</v>
      </c>
      <c r="R70" s="14">
        <v>5</v>
      </c>
      <c r="S70" s="14"/>
      <c r="T70" s="90"/>
      <c r="U70" s="14"/>
      <c r="V70" s="14"/>
      <c r="W70" s="14"/>
      <c r="X70" s="86"/>
      <c r="Y70" s="59">
        <f ca="1">Table25[[#This Row],[End Date]]+2-TODAY()</f>
        <v>19</v>
      </c>
      <c r="Z70" s="14">
        <f>IF(ISBLANK(Table25[[#This Row],[Roster Received By]]),1,0)</f>
        <v>1</v>
      </c>
      <c r="AA70" s="14">
        <f ca="1">IF(Table25[[#This Row],[Start Date]]&gt;TODAY(),1,)</f>
        <v>1</v>
      </c>
    </row>
    <row r="71" spans="1:27" s="93" customFormat="1" ht="14.25" customHeight="1" x14ac:dyDescent="0.25">
      <c r="A71" s="52"/>
      <c r="B71" s="86" t="s">
        <v>53</v>
      </c>
      <c r="C71" s="87" t="s">
        <v>148</v>
      </c>
      <c r="D71" s="87" t="s">
        <v>149</v>
      </c>
      <c r="E71" s="86" t="s">
        <v>167</v>
      </c>
      <c r="F71" s="89">
        <v>45852</v>
      </c>
      <c r="G71" s="89">
        <v>45856</v>
      </c>
      <c r="H71" s="92">
        <v>0.33333333333333331</v>
      </c>
      <c r="I71" s="88"/>
      <c r="J71" s="88"/>
      <c r="K71" s="88"/>
      <c r="L71" s="88"/>
      <c r="M71" s="88"/>
      <c r="N71" s="88"/>
      <c r="O71" s="86"/>
      <c r="P71" s="86"/>
      <c r="Q71" s="14">
        <v>30</v>
      </c>
      <c r="R71" s="14">
        <v>5</v>
      </c>
      <c r="S71" s="14"/>
      <c r="T71" s="90"/>
      <c r="U71" s="14"/>
      <c r="V71" s="14"/>
      <c r="W71" s="14"/>
      <c r="X71" s="86"/>
      <c r="Y71" s="59">
        <f ca="1">Table25[[#This Row],[End Date]]+2-TODAY()</f>
        <v>40</v>
      </c>
      <c r="Z71" s="14">
        <f>IF(ISBLANK(Table25[[#This Row],[Roster Received By]]),1,0)</f>
        <v>1</v>
      </c>
      <c r="AA71" s="14">
        <f ca="1">IF(Table25[[#This Row],[Start Date]]&gt;TODAY(),1,)</f>
        <v>1</v>
      </c>
    </row>
    <row r="72" spans="1:27" s="93" customFormat="1" ht="14.25" customHeight="1" x14ac:dyDescent="0.25">
      <c r="A72" s="52"/>
      <c r="B72" s="86" t="s">
        <v>53</v>
      </c>
      <c r="C72" s="87" t="s">
        <v>148</v>
      </c>
      <c r="D72" s="87" t="s">
        <v>149</v>
      </c>
      <c r="E72" s="86" t="s">
        <v>360</v>
      </c>
      <c r="F72" s="89">
        <v>45719</v>
      </c>
      <c r="G72" s="89">
        <v>45723</v>
      </c>
      <c r="H72" s="92">
        <v>0.33333333333333331</v>
      </c>
      <c r="I72" s="88"/>
      <c r="J72" s="92"/>
      <c r="K72" s="92"/>
      <c r="L72" s="92"/>
      <c r="M72" s="92"/>
      <c r="N72" s="92"/>
      <c r="O72" s="86"/>
      <c r="P72" s="86"/>
      <c r="Q72" s="14">
        <v>30</v>
      </c>
      <c r="R72" s="14">
        <v>5</v>
      </c>
      <c r="S72" s="14"/>
      <c r="T72" s="90"/>
      <c r="U72" s="14"/>
      <c r="V72" s="14"/>
      <c r="W72" s="90"/>
      <c r="X72" s="86"/>
      <c r="Y72" s="59">
        <f ca="1">Table25[[#This Row],[End Date]]+2-TODAY()</f>
        <v>-93</v>
      </c>
      <c r="Z72" s="14">
        <f>IF(ISBLANK(Table25[[#This Row],[Roster Received By]]),1,0)</f>
        <v>1</v>
      </c>
      <c r="AA72" s="14">
        <f ca="1">IF(Table25[[#This Row],[Start Date]]&gt;TODAY(),1,)</f>
        <v>0</v>
      </c>
    </row>
    <row r="73" spans="1:27" s="93" customFormat="1" ht="14.25" hidden="1" customHeight="1" x14ac:dyDescent="0.25">
      <c r="A73" s="86"/>
      <c r="B73" s="86" t="s">
        <v>41</v>
      </c>
      <c r="C73" s="87" t="s">
        <v>91</v>
      </c>
      <c r="D73" s="87">
        <v>3878</v>
      </c>
      <c r="E73" s="54" t="s">
        <v>169</v>
      </c>
      <c r="F73" s="89">
        <v>45593</v>
      </c>
      <c r="G73" s="89">
        <v>45595</v>
      </c>
      <c r="H73" s="92">
        <v>0.33333333333333331</v>
      </c>
      <c r="I73" s="92"/>
      <c r="J73" s="89"/>
      <c r="K73" s="89"/>
      <c r="L73" s="89"/>
      <c r="M73" s="89"/>
      <c r="N73" s="89"/>
      <c r="O73" s="86"/>
      <c r="P73" s="86"/>
      <c r="Q73" s="14">
        <v>25</v>
      </c>
      <c r="R73" s="14">
        <v>3</v>
      </c>
      <c r="S73" s="14"/>
      <c r="T73" s="90"/>
      <c r="U73" s="14"/>
      <c r="V73" s="14"/>
      <c r="W73" s="14"/>
      <c r="X73" s="86"/>
      <c r="Y73" s="59">
        <f ca="1">Table25[[#This Row],[End Date]]+2-TODAY()</f>
        <v>-221</v>
      </c>
      <c r="Z73" s="14">
        <f>IF(ISBLANK(Table25[[#This Row],[Roster Received By]]),1,0)</f>
        <v>1</v>
      </c>
      <c r="AA73" s="14">
        <f ca="1">IF(Table25[[#This Row],[Start Date]]&gt;TODAY(),1,)</f>
        <v>0</v>
      </c>
    </row>
    <row r="74" spans="1:27" s="93" customFormat="1" ht="14.25" hidden="1" customHeight="1" x14ac:dyDescent="0.25">
      <c r="A74" s="52"/>
      <c r="B74" s="86" t="s">
        <v>42</v>
      </c>
      <c r="C74" s="87" t="s">
        <v>92</v>
      </c>
      <c r="D74" s="87">
        <v>3879</v>
      </c>
      <c r="E74" s="86" t="s">
        <v>169</v>
      </c>
      <c r="F74" s="89">
        <v>45581</v>
      </c>
      <c r="G74" s="89">
        <v>45581</v>
      </c>
      <c r="H74" s="92">
        <v>0.33333333333333331</v>
      </c>
      <c r="I74" s="88"/>
      <c r="J74" s="88"/>
      <c r="K74" s="88"/>
      <c r="L74" s="88"/>
      <c r="M74" s="88"/>
      <c r="N74" s="88"/>
      <c r="O74" s="86"/>
      <c r="P74" s="86"/>
      <c r="Q74" s="14">
        <v>30</v>
      </c>
      <c r="R74" s="14">
        <v>1</v>
      </c>
      <c r="S74" s="14"/>
      <c r="T74" s="90"/>
      <c r="U74" s="14"/>
      <c r="V74" s="14"/>
      <c r="W74" s="14"/>
      <c r="X74" s="86"/>
      <c r="Y74" s="59">
        <f ca="1">Table25[[#This Row],[End Date]]+2-TODAY()</f>
        <v>-235</v>
      </c>
      <c r="Z74" s="14">
        <f>IF(ISBLANK(Table25[[#This Row],[Roster Received By]]),1,0)</f>
        <v>1</v>
      </c>
      <c r="AA74" s="14">
        <f ca="1">IF(Table25[[#This Row],[Start Date]]&gt;TODAY(),1,)</f>
        <v>0</v>
      </c>
    </row>
    <row r="75" spans="1:27" s="93" customFormat="1" ht="14.25" hidden="1" customHeight="1" x14ac:dyDescent="0.25">
      <c r="A75" s="52"/>
      <c r="B75" s="86" t="s">
        <v>43</v>
      </c>
      <c r="C75" s="87" t="s">
        <v>94</v>
      </c>
      <c r="D75" s="87">
        <v>3882</v>
      </c>
      <c r="E75" s="86" t="s">
        <v>169</v>
      </c>
      <c r="F75" s="89">
        <v>45596</v>
      </c>
      <c r="G75" s="89">
        <v>45597</v>
      </c>
      <c r="H75" s="92">
        <v>0.33333333333333331</v>
      </c>
      <c r="I75" s="92"/>
      <c r="J75" s="89"/>
      <c r="K75" s="89"/>
      <c r="L75" s="89"/>
      <c r="M75" s="89"/>
      <c r="N75" s="89"/>
      <c r="O75" s="86"/>
      <c r="P75" s="86"/>
      <c r="Q75" s="14">
        <v>25</v>
      </c>
      <c r="R75" s="14">
        <v>2</v>
      </c>
      <c r="S75" s="14"/>
      <c r="T75" s="90"/>
      <c r="U75" s="14"/>
      <c r="V75" s="14"/>
      <c r="W75" s="87"/>
      <c r="X75" s="86"/>
      <c r="Y75" s="59">
        <f ca="1">Table25[[#This Row],[End Date]]+2-TODAY()</f>
        <v>-219</v>
      </c>
      <c r="Z75" s="14">
        <f>IF(ISBLANK(Table25[[#This Row],[Roster Received By]]),1,0)</f>
        <v>1</v>
      </c>
      <c r="AA75" s="14">
        <f ca="1">IF(Table25[[#This Row],[Start Date]]&gt;TODAY(),1,)</f>
        <v>0</v>
      </c>
    </row>
    <row r="76" spans="1:27" s="93" customFormat="1" hidden="1" x14ac:dyDescent="0.25">
      <c r="A76" s="52"/>
      <c r="B76" s="86" t="s">
        <v>44</v>
      </c>
      <c r="C76" s="87" t="s">
        <v>95</v>
      </c>
      <c r="D76" s="87">
        <v>3888</v>
      </c>
      <c r="E76" s="86" t="s">
        <v>169</v>
      </c>
      <c r="F76" s="89">
        <v>45581</v>
      </c>
      <c r="G76" s="89">
        <v>45581</v>
      </c>
      <c r="H76" s="88">
        <v>0.5</v>
      </c>
      <c r="I76" s="92"/>
      <c r="J76" s="89"/>
      <c r="K76" s="89"/>
      <c r="L76" s="89"/>
      <c r="M76" s="89"/>
      <c r="N76" s="89"/>
      <c r="O76" s="86"/>
      <c r="P76" s="86"/>
      <c r="Q76" s="90">
        <v>30</v>
      </c>
      <c r="R76" s="91">
        <v>1</v>
      </c>
      <c r="S76" s="90"/>
      <c r="T76" s="90"/>
      <c r="U76" s="14"/>
      <c r="V76" s="14"/>
      <c r="W76" s="14"/>
      <c r="X76" s="86"/>
      <c r="Y76" s="59">
        <f ca="1">Table25[[#This Row],[End Date]]+2-TODAY()</f>
        <v>-235</v>
      </c>
      <c r="Z76" s="14">
        <f>IF(ISBLANK(Table25[[#This Row],[Roster Received By]]),1,0)</f>
        <v>1</v>
      </c>
      <c r="AA76" s="14">
        <f ca="1">IF(Table25[[#This Row],[Start Date]]&gt;TODAY(),1,)</f>
        <v>0</v>
      </c>
    </row>
    <row r="77" spans="1:27" s="93" customFormat="1" hidden="1" x14ac:dyDescent="0.25">
      <c r="A77" s="52"/>
      <c r="B77" s="86" t="s">
        <v>45</v>
      </c>
      <c r="C77" s="87" t="s">
        <v>96</v>
      </c>
      <c r="D77" s="87" t="s">
        <v>97</v>
      </c>
      <c r="E77" s="86" t="s">
        <v>169</v>
      </c>
      <c r="F77" s="89">
        <v>45586</v>
      </c>
      <c r="G77" s="89">
        <v>45590</v>
      </c>
      <c r="H77" s="92">
        <v>0.33333333333333331</v>
      </c>
      <c r="I77" s="88"/>
      <c r="J77" s="88"/>
      <c r="K77" s="88"/>
      <c r="L77" s="88"/>
      <c r="M77" s="88"/>
      <c r="N77" s="88"/>
      <c r="O77" s="86"/>
      <c r="P77" s="86"/>
      <c r="Q77" s="14">
        <v>25</v>
      </c>
      <c r="R77" s="14">
        <v>5</v>
      </c>
      <c r="S77" s="14"/>
      <c r="T77" s="90"/>
      <c r="U77" s="14"/>
      <c r="V77" s="14"/>
      <c r="W77" s="14"/>
      <c r="X77" s="86"/>
      <c r="Y77" s="59">
        <f ca="1">Table25[[#This Row],[End Date]]+2-TODAY()</f>
        <v>-226</v>
      </c>
      <c r="Z77" s="14">
        <f>IF(ISBLANK(Table25[[#This Row],[Roster Received By]]),1,0)</f>
        <v>1</v>
      </c>
      <c r="AA77" s="14">
        <f ca="1">IF(Table25[[#This Row],[Start Date]]&gt;TODAY(),1,)</f>
        <v>0</v>
      </c>
    </row>
    <row r="78" spans="1:27" s="93" customFormat="1" ht="14.25" hidden="1" customHeight="1" x14ac:dyDescent="0.25">
      <c r="A78" s="86"/>
      <c r="B78" s="86" t="s">
        <v>46</v>
      </c>
      <c r="C78" s="87" t="s">
        <v>98</v>
      </c>
      <c r="D78" s="87" t="s">
        <v>99</v>
      </c>
      <c r="E78" s="86" t="s">
        <v>169</v>
      </c>
      <c r="F78" s="89">
        <v>45580</v>
      </c>
      <c r="G78" s="89">
        <v>45580</v>
      </c>
      <c r="H78" s="92">
        <v>0.33333333333333331</v>
      </c>
      <c r="I78" s="92"/>
      <c r="J78" s="89"/>
      <c r="K78" s="89"/>
      <c r="L78" s="89"/>
      <c r="M78" s="89"/>
      <c r="N78" s="89"/>
      <c r="O78" s="86"/>
      <c r="P78" s="86"/>
      <c r="Q78" s="14">
        <v>30</v>
      </c>
      <c r="R78" s="14">
        <v>1</v>
      </c>
      <c r="S78" s="14"/>
      <c r="T78" s="90"/>
      <c r="U78" s="14"/>
      <c r="V78" s="14"/>
      <c r="W78" s="14"/>
      <c r="X78" s="86"/>
      <c r="Y78" s="59">
        <f ca="1">Table25[[#This Row],[End Date]]+2-TODAY()</f>
        <v>-236</v>
      </c>
      <c r="Z78" s="14">
        <f>IF(ISBLANK(Table25[[#This Row],[Roster Received By]]),1,0)</f>
        <v>1</v>
      </c>
      <c r="AA78" s="14">
        <f ca="1">IF(Table25[[#This Row],[Start Date]]&gt;TODAY(),1,)</f>
        <v>0</v>
      </c>
    </row>
    <row r="79" spans="1:27" s="93" customFormat="1" ht="14.25" hidden="1" customHeight="1" x14ac:dyDescent="0.25">
      <c r="A79" s="52"/>
      <c r="B79" s="86" t="s">
        <v>49</v>
      </c>
      <c r="C79" s="87" t="s">
        <v>133</v>
      </c>
      <c r="D79" s="87">
        <v>5891</v>
      </c>
      <c r="E79" s="86" t="s">
        <v>169</v>
      </c>
      <c r="F79" s="89">
        <v>45782</v>
      </c>
      <c r="G79" s="89">
        <v>45784</v>
      </c>
      <c r="H79" s="92">
        <v>0.33333333333333331</v>
      </c>
      <c r="I79" s="88"/>
      <c r="J79" s="88"/>
      <c r="K79" s="88"/>
      <c r="L79" s="88"/>
      <c r="M79" s="88"/>
      <c r="N79" s="88"/>
      <c r="O79" s="86"/>
      <c r="P79" s="86"/>
      <c r="Q79" s="14">
        <v>25</v>
      </c>
      <c r="R79" s="14">
        <v>3</v>
      </c>
      <c r="S79" s="14"/>
      <c r="T79" s="90"/>
      <c r="U79" s="14"/>
      <c r="V79" s="14"/>
      <c r="W79" s="14"/>
      <c r="X79" s="86"/>
      <c r="Y79" s="59">
        <f ca="1">Table25[[#This Row],[End Date]]+2-TODAY()</f>
        <v>-32</v>
      </c>
      <c r="Z79" s="14">
        <f>IF(ISBLANK(Table25[[#This Row],[Roster Received By]]),1,0)</f>
        <v>1</v>
      </c>
      <c r="AA79" s="14">
        <f ca="1">IF(Table25[[#This Row],[Start Date]]&gt;TODAY(),1,)</f>
        <v>0</v>
      </c>
    </row>
    <row r="80" spans="1:27" s="93" customFormat="1" ht="14.25" hidden="1" customHeight="1" x14ac:dyDescent="0.25">
      <c r="A80" s="52"/>
      <c r="B80" s="86" t="s">
        <v>49</v>
      </c>
      <c r="C80" s="87" t="s">
        <v>133</v>
      </c>
      <c r="D80" s="87">
        <v>5891</v>
      </c>
      <c r="E80" s="86" t="s">
        <v>169</v>
      </c>
      <c r="F80" s="89">
        <v>45824</v>
      </c>
      <c r="G80" s="89">
        <v>45826</v>
      </c>
      <c r="H80" s="92">
        <v>0.33333333333333331</v>
      </c>
      <c r="I80" s="95"/>
      <c r="J80" s="89"/>
      <c r="K80" s="89"/>
      <c r="L80" s="89"/>
      <c r="M80" s="89"/>
      <c r="N80" s="89"/>
      <c r="O80" s="86"/>
      <c r="P80" s="86"/>
      <c r="Q80" s="14">
        <v>25</v>
      </c>
      <c r="R80" s="14">
        <v>3</v>
      </c>
      <c r="S80" s="14"/>
      <c r="T80" s="90"/>
      <c r="U80" s="14"/>
      <c r="V80" s="14"/>
      <c r="W80" s="14"/>
      <c r="X80" s="86"/>
      <c r="Y80" s="59">
        <f ca="1">Table25[[#This Row],[End Date]]+2-TODAY()</f>
        <v>10</v>
      </c>
      <c r="Z80" s="14">
        <f>IF(ISBLANK(Table25[[#This Row],[Roster Received By]]),1,0)</f>
        <v>1</v>
      </c>
      <c r="AA80" s="14">
        <f ca="1">IF(Table25[[#This Row],[Start Date]]&gt;TODAY(),1,)</f>
        <v>1</v>
      </c>
    </row>
    <row r="81" spans="1:27" s="93" customFormat="1" ht="14.25" hidden="1" customHeight="1" x14ac:dyDescent="0.25">
      <c r="A81" s="52"/>
      <c r="B81" s="86" t="s">
        <v>49</v>
      </c>
      <c r="C81" s="87" t="s">
        <v>133</v>
      </c>
      <c r="D81" s="87">
        <v>5891</v>
      </c>
      <c r="E81" s="86" t="s">
        <v>169</v>
      </c>
      <c r="F81" s="89">
        <v>45908</v>
      </c>
      <c r="G81" s="89" t="s">
        <v>491</v>
      </c>
      <c r="H81" s="92">
        <v>0.33333333333333331</v>
      </c>
      <c r="I81" s="92"/>
      <c r="J81" s="92"/>
      <c r="K81" s="92"/>
      <c r="L81" s="92"/>
      <c r="M81" s="92"/>
      <c r="N81" s="89"/>
      <c r="O81" s="86"/>
      <c r="P81" s="86"/>
      <c r="Q81" s="14">
        <v>25</v>
      </c>
      <c r="R81" s="14">
        <v>3</v>
      </c>
      <c r="S81" s="14"/>
      <c r="T81" s="90"/>
      <c r="U81" s="14"/>
      <c r="V81" s="14"/>
      <c r="W81" s="14"/>
      <c r="X81" s="86"/>
      <c r="Y81" s="59" t="e">
        <f ca="1">Table25[[#This Row],[End Date]]+2-TODAY()</f>
        <v>#VALUE!</v>
      </c>
      <c r="Z81" s="14">
        <f>IF(ISBLANK(Table25[[#This Row],[Roster Received By]]),1,0)</f>
        <v>1</v>
      </c>
      <c r="AA81" s="14">
        <f ca="1">IF(Table25[[#This Row],[Start Date]]&gt;TODAY(),1,)</f>
        <v>1</v>
      </c>
    </row>
    <row r="82" spans="1:27" s="126" customFormat="1" ht="14.25" customHeight="1" x14ac:dyDescent="0.25">
      <c r="A82" s="52"/>
      <c r="B82" s="86" t="s">
        <v>53</v>
      </c>
      <c r="C82" s="87" t="s">
        <v>148</v>
      </c>
      <c r="D82" s="87" t="s">
        <v>149</v>
      </c>
      <c r="E82" s="54" t="s">
        <v>169</v>
      </c>
      <c r="F82" s="89">
        <v>45565</v>
      </c>
      <c r="G82" s="89">
        <v>45569</v>
      </c>
      <c r="H82" s="95">
        <v>0.33333333333333331</v>
      </c>
      <c r="I82" s="95"/>
      <c r="J82" s="89"/>
      <c r="K82" s="89"/>
      <c r="L82" s="89"/>
      <c r="M82" s="89"/>
      <c r="N82" s="89"/>
      <c r="O82" s="86"/>
      <c r="P82" s="86"/>
      <c r="Q82" s="14">
        <v>30</v>
      </c>
      <c r="R82" s="14">
        <v>5</v>
      </c>
      <c r="S82" s="14"/>
      <c r="T82" s="90"/>
      <c r="U82" s="14"/>
      <c r="V82" s="14"/>
      <c r="W82" s="14"/>
      <c r="X82" s="86"/>
      <c r="Y82" s="59">
        <f ca="1">Table25[[#This Row],[End Date]]+2-TODAY()</f>
        <v>-247</v>
      </c>
      <c r="Z82" s="14">
        <f>IF(ISBLANK(Table25[[#This Row],[Roster Received By]]),1,0)</f>
        <v>1</v>
      </c>
      <c r="AA82" s="14">
        <f ca="1">IF(Table25[[#This Row],[Start Date]]&gt;TODAY(),1,)</f>
        <v>0</v>
      </c>
    </row>
    <row r="83" spans="1:27" s="93" customFormat="1" ht="14.25" customHeight="1" x14ac:dyDescent="0.25">
      <c r="A83" s="52"/>
      <c r="B83" s="124" t="s">
        <v>53</v>
      </c>
      <c r="C83" s="87" t="s">
        <v>148</v>
      </c>
      <c r="D83" s="87" t="s">
        <v>149</v>
      </c>
      <c r="E83" s="86" t="s">
        <v>169</v>
      </c>
      <c r="F83" s="89">
        <v>45593</v>
      </c>
      <c r="G83" s="89">
        <v>45597</v>
      </c>
      <c r="H83" s="92">
        <v>0.33333333333333331</v>
      </c>
      <c r="I83" s="88"/>
      <c r="J83" s="92"/>
      <c r="K83" s="92"/>
      <c r="L83" s="92"/>
      <c r="M83" s="92"/>
      <c r="N83" s="92"/>
      <c r="O83" s="86"/>
      <c r="P83" s="86"/>
      <c r="Q83" s="14">
        <v>30</v>
      </c>
      <c r="R83" s="14">
        <v>5</v>
      </c>
      <c r="S83" s="14"/>
      <c r="T83" s="90"/>
      <c r="U83" s="14"/>
      <c r="V83" s="14"/>
      <c r="W83" s="14"/>
      <c r="X83" s="86"/>
      <c r="Y83" s="59">
        <f ca="1">Table25[[#This Row],[End Date]]+2-TODAY()</f>
        <v>-219</v>
      </c>
      <c r="Z83" s="14">
        <f>IF(ISBLANK(Table25[[#This Row],[Roster Received By]]),1,0)</f>
        <v>1</v>
      </c>
      <c r="AA83" s="14">
        <f ca="1">IF(Table25[[#This Row],[Start Date]]&gt;TODAY(),1,)</f>
        <v>0</v>
      </c>
    </row>
    <row r="84" spans="1:27" s="93" customFormat="1" ht="14.25" customHeight="1" x14ac:dyDescent="0.25">
      <c r="A84" s="52"/>
      <c r="B84" s="86" t="s">
        <v>53</v>
      </c>
      <c r="C84" s="87" t="s">
        <v>148</v>
      </c>
      <c r="D84" s="87" t="s">
        <v>149</v>
      </c>
      <c r="E84" s="54" t="s">
        <v>169</v>
      </c>
      <c r="F84" s="89">
        <v>45614</v>
      </c>
      <c r="G84" s="89">
        <v>45618</v>
      </c>
      <c r="H84" s="92">
        <v>0.33333333333333331</v>
      </c>
      <c r="I84" s="92"/>
      <c r="J84" s="89"/>
      <c r="K84" s="89"/>
      <c r="L84" s="89"/>
      <c r="M84" s="89"/>
      <c r="N84" s="89"/>
      <c r="O84" s="86"/>
      <c r="P84" s="86"/>
      <c r="Q84" s="14">
        <v>30</v>
      </c>
      <c r="R84" s="14">
        <v>5</v>
      </c>
      <c r="S84" s="14"/>
      <c r="T84" s="90"/>
      <c r="U84" s="14"/>
      <c r="V84" s="14"/>
      <c r="W84" s="14"/>
      <c r="X84" s="86"/>
      <c r="Y84" s="59">
        <f ca="1">Table25[[#This Row],[End Date]]+2-TODAY()</f>
        <v>-198</v>
      </c>
      <c r="Z84" s="14">
        <f>IF(ISBLANK(Table25[[#This Row],[Roster Received By]]),1,0)</f>
        <v>1</v>
      </c>
      <c r="AA84" s="14">
        <f ca="1">IF(Table25[[#This Row],[Start Date]]&gt;TODAY(),1,)</f>
        <v>0</v>
      </c>
    </row>
    <row r="85" spans="1:27" s="93" customFormat="1" ht="14.25" customHeight="1" x14ac:dyDescent="0.25">
      <c r="A85" s="54"/>
      <c r="B85" s="86" t="s">
        <v>53</v>
      </c>
      <c r="C85" s="87" t="s">
        <v>148</v>
      </c>
      <c r="D85" s="87" t="s">
        <v>149</v>
      </c>
      <c r="E85" s="86" t="s">
        <v>169</v>
      </c>
      <c r="F85" s="89">
        <v>45754</v>
      </c>
      <c r="G85" s="89">
        <v>45758</v>
      </c>
      <c r="H85" s="92">
        <v>0.33333333333333331</v>
      </c>
      <c r="I85" s="92"/>
      <c r="J85" s="92"/>
      <c r="K85" s="92"/>
      <c r="L85" s="92"/>
      <c r="M85" s="92"/>
      <c r="N85" s="92"/>
      <c r="O85" s="86"/>
      <c r="P85" s="86"/>
      <c r="Q85" s="14">
        <v>30</v>
      </c>
      <c r="R85" s="14">
        <v>5</v>
      </c>
      <c r="S85" s="90"/>
      <c r="T85" s="90"/>
      <c r="U85" s="14"/>
      <c r="V85" s="14"/>
      <c r="W85" s="87"/>
      <c r="X85" s="86"/>
      <c r="Y85" s="59">
        <f ca="1">Table25[[#This Row],[End Date]]+2-TODAY()</f>
        <v>-58</v>
      </c>
      <c r="Z85" s="14">
        <f>IF(ISBLANK(Table25[[#This Row],[Roster Received By]]),1,0)</f>
        <v>1</v>
      </c>
      <c r="AA85" s="14">
        <f ca="1">IF(Table25[[#This Row],[Start Date]]&gt;TODAY(),1,)</f>
        <v>0</v>
      </c>
    </row>
    <row r="86" spans="1:27" s="93" customFormat="1" ht="14.25" customHeight="1" x14ac:dyDescent="0.25">
      <c r="A86" s="86"/>
      <c r="B86" s="86" t="s">
        <v>53</v>
      </c>
      <c r="C86" s="87" t="s">
        <v>148</v>
      </c>
      <c r="D86" s="87" t="s">
        <v>149</v>
      </c>
      <c r="E86" s="86" t="s">
        <v>169</v>
      </c>
      <c r="F86" s="89">
        <v>45775</v>
      </c>
      <c r="G86" s="89">
        <v>45779</v>
      </c>
      <c r="H86" s="92">
        <v>0.33333333333333331</v>
      </c>
      <c r="I86" s="88"/>
      <c r="J86" s="92"/>
      <c r="K86" s="92"/>
      <c r="L86" s="92"/>
      <c r="M86" s="92"/>
      <c r="N86" s="92"/>
      <c r="O86" s="86"/>
      <c r="P86" s="86"/>
      <c r="Q86" s="14">
        <v>30</v>
      </c>
      <c r="R86" s="14">
        <v>5</v>
      </c>
      <c r="S86" s="90"/>
      <c r="T86" s="90"/>
      <c r="U86" s="14"/>
      <c r="V86" s="14"/>
      <c r="W86" s="90"/>
      <c r="X86" s="86"/>
      <c r="Y86" s="59">
        <f ca="1">Table25[[#This Row],[End Date]]+2-TODAY()</f>
        <v>-37</v>
      </c>
      <c r="Z86" s="14">
        <f>IF(ISBLANK(Table25[[#This Row],[Roster Received By]]),1,0)</f>
        <v>1</v>
      </c>
      <c r="AA86" s="14">
        <f ca="1">IF(Table25[[#This Row],[Start Date]]&gt;TODAY(),1,)</f>
        <v>0</v>
      </c>
    </row>
    <row r="87" spans="1:27" s="122" customFormat="1" ht="14.25" customHeight="1" x14ac:dyDescent="0.25">
      <c r="A87" s="52"/>
      <c r="B87" s="86" t="s">
        <v>53</v>
      </c>
      <c r="C87" s="87" t="s">
        <v>148</v>
      </c>
      <c r="D87" s="87" t="s">
        <v>149</v>
      </c>
      <c r="E87" s="86" t="s">
        <v>169</v>
      </c>
      <c r="F87" s="56">
        <v>45873</v>
      </c>
      <c r="G87" s="56">
        <v>45877</v>
      </c>
      <c r="H87" s="92">
        <v>0.33333333333333331</v>
      </c>
      <c r="I87" s="88"/>
      <c r="J87" s="88"/>
      <c r="K87" s="88"/>
      <c r="L87" s="88"/>
      <c r="M87" s="88"/>
      <c r="N87" s="88"/>
      <c r="O87" s="86"/>
      <c r="P87" s="86"/>
      <c r="Q87" s="14">
        <v>30</v>
      </c>
      <c r="R87" s="14">
        <v>5</v>
      </c>
      <c r="S87" s="14"/>
      <c r="T87" s="90"/>
      <c r="U87" s="14"/>
      <c r="V87" s="14"/>
      <c r="W87" s="14"/>
      <c r="X87" s="86"/>
      <c r="Y87" s="59">
        <f ca="1">Table25[[#This Row],[End Date]]+2-TODAY()</f>
        <v>61</v>
      </c>
      <c r="Z87" s="14">
        <f>IF(ISBLANK(Table25[[#This Row],[Roster Received By]]),1,0)</f>
        <v>1</v>
      </c>
      <c r="AA87" s="14">
        <f ca="1">IF(Table25[[#This Row],[Start Date]]&gt;TODAY(),1,)</f>
        <v>1</v>
      </c>
    </row>
    <row r="88" spans="1:27" s="93" customFormat="1" ht="14.25" hidden="1" customHeight="1" x14ac:dyDescent="0.25">
      <c r="A88" s="52"/>
      <c r="B88" s="86" t="s">
        <v>41</v>
      </c>
      <c r="C88" s="87" t="s">
        <v>91</v>
      </c>
      <c r="D88" s="87">
        <v>3878</v>
      </c>
      <c r="E88" s="54" t="s">
        <v>174</v>
      </c>
      <c r="F88" s="89">
        <v>45852</v>
      </c>
      <c r="G88" s="89">
        <v>45854</v>
      </c>
      <c r="H88" s="92">
        <v>0.33333333333333331</v>
      </c>
      <c r="I88" s="92"/>
      <c r="J88" s="89"/>
      <c r="K88" s="89"/>
      <c r="L88" s="89"/>
      <c r="M88" s="89"/>
      <c r="N88" s="89"/>
      <c r="O88" s="86"/>
      <c r="P88" s="86"/>
      <c r="Q88" s="90">
        <v>25</v>
      </c>
      <c r="R88" s="91">
        <v>3</v>
      </c>
      <c r="S88" s="90"/>
      <c r="T88" s="90"/>
      <c r="U88" s="14"/>
      <c r="V88" s="14"/>
      <c r="W88" s="87"/>
      <c r="X88" s="86"/>
      <c r="Y88" s="59">
        <f ca="1">Table25[[#This Row],[End Date]]+2-TODAY()</f>
        <v>38</v>
      </c>
      <c r="Z88" s="14">
        <f>IF(ISBLANK(Table25[[#This Row],[Roster Received By]]),1,0)</f>
        <v>1</v>
      </c>
      <c r="AA88" s="14">
        <f ca="1">IF(Table25[[#This Row],[Start Date]]&gt;TODAY(),1,)</f>
        <v>1</v>
      </c>
    </row>
    <row r="89" spans="1:27" s="93" customFormat="1" ht="14.25" hidden="1" customHeight="1" x14ac:dyDescent="0.25">
      <c r="A89" s="52"/>
      <c r="B89" s="86" t="s">
        <v>42</v>
      </c>
      <c r="C89" s="87" t="s">
        <v>92</v>
      </c>
      <c r="D89" s="87">
        <v>3879</v>
      </c>
      <c r="E89" s="86" t="s">
        <v>174</v>
      </c>
      <c r="F89" s="89">
        <v>45860</v>
      </c>
      <c r="G89" s="89">
        <v>45860</v>
      </c>
      <c r="H89" s="92">
        <v>0.33333333333333331</v>
      </c>
      <c r="I89" s="92"/>
      <c r="J89" s="89"/>
      <c r="K89" s="89"/>
      <c r="L89" s="89"/>
      <c r="M89" s="89"/>
      <c r="N89" s="89"/>
      <c r="O89" s="86"/>
      <c r="P89" s="86"/>
      <c r="Q89" s="90">
        <v>30</v>
      </c>
      <c r="R89" s="91">
        <v>1</v>
      </c>
      <c r="S89" s="90"/>
      <c r="T89" s="90"/>
      <c r="U89" s="14"/>
      <c r="V89" s="14"/>
      <c r="W89" s="87"/>
      <c r="X89" s="86"/>
      <c r="Y89" s="59">
        <f ca="1">Table25[[#This Row],[End Date]]+2-TODAY()</f>
        <v>44</v>
      </c>
      <c r="Z89" s="14">
        <f>IF(ISBLANK(Table25[[#This Row],[Roster Received By]]),1,0)</f>
        <v>1</v>
      </c>
      <c r="AA89" s="14">
        <f ca="1">IF(Table25[[#This Row],[Start Date]]&gt;TODAY(),1,)</f>
        <v>1</v>
      </c>
    </row>
    <row r="90" spans="1:27" s="93" customFormat="1" ht="14.25" hidden="1" customHeight="1" x14ac:dyDescent="0.25">
      <c r="A90" s="52"/>
      <c r="B90" s="86" t="s">
        <v>43</v>
      </c>
      <c r="C90" s="87" t="s">
        <v>94</v>
      </c>
      <c r="D90" s="87">
        <v>3882</v>
      </c>
      <c r="E90" s="86" t="s">
        <v>174</v>
      </c>
      <c r="F90" s="89">
        <v>45855</v>
      </c>
      <c r="G90" s="89">
        <v>45856</v>
      </c>
      <c r="H90" s="92">
        <v>0.33333333333333331</v>
      </c>
      <c r="I90" s="92"/>
      <c r="J90" s="89"/>
      <c r="K90" s="89"/>
      <c r="L90" s="89"/>
      <c r="M90" s="89"/>
      <c r="N90" s="89"/>
      <c r="O90" s="86"/>
      <c r="P90" s="86"/>
      <c r="Q90" s="90">
        <v>25</v>
      </c>
      <c r="R90" s="91">
        <v>2</v>
      </c>
      <c r="S90" s="90"/>
      <c r="T90" s="90"/>
      <c r="U90" s="14"/>
      <c r="V90" s="14"/>
      <c r="W90" s="87"/>
      <c r="X90" s="86"/>
      <c r="Y90" s="59">
        <f ca="1">Table25[[#This Row],[End Date]]+2-TODAY()</f>
        <v>40</v>
      </c>
      <c r="Z90" s="14">
        <f>IF(ISBLANK(Table25[[#This Row],[Roster Received By]]),1,0)</f>
        <v>1</v>
      </c>
      <c r="AA90" s="14">
        <f ca="1">IF(Table25[[#This Row],[Start Date]]&gt;TODAY(),1,)</f>
        <v>1</v>
      </c>
    </row>
    <row r="91" spans="1:27" s="93" customFormat="1" ht="14.25" hidden="1" customHeight="1" x14ac:dyDescent="0.25">
      <c r="A91" s="52"/>
      <c r="B91" s="86" t="s">
        <v>44</v>
      </c>
      <c r="C91" s="87" t="s">
        <v>95</v>
      </c>
      <c r="D91" s="87">
        <v>3888</v>
      </c>
      <c r="E91" s="86" t="s">
        <v>174</v>
      </c>
      <c r="F91" s="89">
        <v>45860</v>
      </c>
      <c r="G91" s="89">
        <v>45860</v>
      </c>
      <c r="H91" s="88">
        <v>0.5</v>
      </c>
      <c r="I91" s="92"/>
      <c r="J91" s="89"/>
      <c r="K91" s="89"/>
      <c r="L91" s="89"/>
      <c r="M91" s="89"/>
      <c r="N91" s="89"/>
      <c r="O91" s="86"/>
      <c r="P91" s="86"/>
      <c r="Q91" s="90">
        <v>30</v>
      </c>
      <c r="R91" s="91">
        <v>1</v>
      </c>
      <c r="S91" s="90"/>
      <c r="T91" s="90"/>
      <c r="U91" s="14"/>
      <c r="V91" s="14"/>
      <c r="W91" s="87"/>
      <c r="X91" s="86"/>
      <c r="Y91" s="59">
        <f ca="1">Table25[[#This Row],[End Date]]+2-TODAY()</f>
        <v>44</v>
      </c>
      <c r="Z91" s="14">
        <f>IF(ISBLANK(Table25[[#This Row],[Roster Received By]]),1,0)</f>
        <v>1</v>
      </c>
      <c r="AA91" s="14">
        <f ca="1">IF(Table25[[#This Row],[Start Date]]&gt;TODAY(),1,)</f>
        <v>1</v>
      </c>
    </row>
    <row r="92" spans="1:27" s="93" customFormat="1" ht="14.25" hidden="1" customHeight="1" x14ac:dyDescent="0.25">
      <c r="A92" s="52"/>
      <c r="B92" s="86" t="s">
        <v>45</v>
      </c>
      <c r="C92" s="87" t="s">
        <v>96</v>
      </c>
      <c r="D92" s="87" t="s">
        <v>97</v>
      </c>
      <c r="E92" s="86" t="s">
        <v>174</v>
      </c>
      <c r="F92" s="89">
        <v>45845</v>
      </c>
      <c r="G92" s="89">
        <v>45849</v>
      </c>
      <c r="H92" s="92">
        <v>0.33333333333333331</v>
      </c>
      <c r="I92" s="92"/>
      <c r="J92" s="89"/>
      <c r="K92" s="89"/>
      <c r="L92" s="89"/>
      <c r="M92" s="89"/>
      <c r="N92" s="89"/>
      <c r="O92" s="86"/>
      <c r="P92" s="86"/>
      <c r="Q92" s="90">
        <v>25</v>
      </c>
      <c r="R92" s="91">
        <v>5</v>
      </c>
      <c r="S92" s="90"/>
      <c r="T92" s="90"/>
      <c r="U92" s="14"/>
      <c r="V92" s="14"/>
      <c r="W92" s="87"/>
      <c r="X92" s="86"/>
      <c r="Y92" s="59">
        <f ca="1">Table25[[#This Row],[End Date]]+2-TODAY()</f>
        <v>33</v>
      </c>
      <c r="Z92" s="14">
        <f>IF(ISBLANK(Table25[[#This Row],[Roster Received By]]),1,0)</f>
        <v>1</v>
      </c>
      <c r="AA92" s="14">
        <f ca="1">IF(Table25[[#This Row],[Start Date]]&gt;TODAY(),1,)</f>
        <v>1</v>
      </c>
    </row>
    <row r="93" spans="1:27" s="93" customFormat="1" ht="14.25" hidden="1" customHeight="1" x14ac:dyDescent="0.25">
      <c r="A93" s="52"/>
      <c r="B93" s="86" t="s">
        <v>46</v>
      </c>
      <c r="C93" s="87" t="s">
        <v>98</v>
      </c>
      <c r="D93" s="87" t="s">
        <v>99</v>
      </c>
      <c r="E93" s="86" t="s">
        <v>174</v>
      </c>
      <c r="F93" s="89">
        <v>45859</v>
      </c>
      <c r="G93" s="89">
        <v>45859</v>
      </c>
      <c r="H93" s="92">
        <v>0.33333333333333331</v>
      </c>
      <c r="I93" s="92"/>
      <c r="J93" s="89"/>
      <c r="K93" s="89"/>
      <c r="L93" s="89"/>
      <c r="M93" s="89"/>
      <c r="N93" s="89"/>
      <c r="O93" s="86"/>
      <c r="P93" s="86"/>
      <c r="Q93" s="90">
        <v>30</v>
      </c>
      <c r="R93" s="91">
        <v>1</v>
      </c>
      <c r="S93" s="90"/>
      <c r="T93" s="90"/>
      <c r="U93" s="14"/>
      <c r="V93" s="14"/>
      <c r="W93" s="87"/>
      <c r="X93" s="86"/>
      <c r="Y93" s="59">
        <f ca="1">Table25[[#This Row],[End Date]]+2-TODAY()</f>
        <v>43</v>
      </c>
      <c r="Z93" s="14">
        <f>IF(ISBLANK(Table25[[#This Row],[Roster Received By]]),1,0)</f>
        <v>1</v>
      </c>
      <c r="AA93" s="14">
        <f ca="1">IF(Table25[[#This Row],[Start Date]]&gt;TODAY(),1,)</f>
        <v>1</v>
      </c>
    </row>
    <row r="94" spans="1:27" s="93" customFormat="1" ht="14.25" hidden="1" customHeight="1" x14ac:dyDescent="0.25">
      <c r="A94" s="52"/>
      <c r="B94" s="86" t="s">
        <v>49</v>
      </c>
      <c r="C94" s="87" t="s">
        <v>133</v>
      </c>
      <c r="D94" s="87">
        <v>5891</v>
      </c>
      <c r="E94" s="86" t="s">
        <v>174</v>
      </c>
      <c r="F94" s="89">
        <v>45861</v>
      </c>
      <c r="G94" s="89">
        <v>45863</v>
      </c>
      <c r="H94" s="92">
        <v>0.33333333333333331</v>
      </c>
      <c r="I94" s="92"/>
      <c r="J94" s="89"/>
      <c r="K94" s="89"/>
      <c r="L94" s="89"/>
      <c r="M94" s="89"/>
      <c r="N94" s="89"/>
      <c r="O94" s="86"/>
      <c r="P94" s="86"/>
      <c r="Q94" s="14">
        <v>25</v>
      </c>
      <c r="R94" s="14">
        <v>3</v>
      </c>
      <c r="S94" s="14"/>
      <c r="T94" s="90"/>
      <c r="U94" s="14"/>
      <c r="V94" s="14"/>
      <c r="W94" s="14"/>
      <c r="X94" s="86"/>
      <c r="Y94" s="59">
        <f ca="1">Table25[[#This Row],[End Date]]+2-TODAY()</f>
        <v>47</v>
      </c>
      <c r="Z94" s="14">
        <f>IF(ISBLANK(Table25[[#This Row],[Roster Received By]]),1,0)</f>
        <v>1</v>
      </c>
      <c r="AA94" s="14">
        <f ca="1">IF(Table25[[#This Row],[Start Date]]&gt;TODAY(),1,)</f>
        <v>1</v>
      </c>
    </row>
    <row r="95" spans="1:27" s="93" customFormat="1" ht="14.25" customHeight="1" x14ac:dyDescent="0.25">
      <c r="A95" s="52"/>
      <c r="B95" s="86" t="s">
        <v>53</v>
      </c>
      <c r="C95" s="87" t="s">
        <v>148</v>
      </c>
      <c r="D95" s="87" t="s">
        <v>149</v>
      </c>
      <c r="E95" s="86" t="s">
        <v>174</v>
      </c>
      <c r="F95" s="89">
        <v>45663</v>
      </c>
      <c r="G95" s="89">
        <v>45667</v>
      </c>
      <c r="H95" s="92">
        <v>0.33333333333333331</v>
      </c>
      <c r="I95" s="88"/>
      <c r="J95" s="92"/>
      <c r="K95" s="92"/>
      <c r="L95" s="92"/>
      <c r="M95" s="92"/>
      <c r="N95" s="92"/>
      <c r="O95" s="86"/>
      <c r="P95" s="86"/>
      <c r="Q95" s="14">
        <v>30</v>
      </c>
      <c r="R95" s="14">
        <v>5</v>
      </c>
      <c r="S95" s="14"/>
      <c r="T95" s="90"/>
      <c r="U95" s="14"/>
      <c r="V95" s="14"/>
      <c r="W95" s="14"/>
      <c r="X95" s="86"/>
      <c r="Y95" s="59">
        <f ca="1">Table25[[#This Row],[End Date]]+2-TODAY()</f>
        <v>-149</v>
      </c>
      <c r="Z95" s="14">
        <f>IF(ISBLANK(Table25[[#This Row],[Roster Received By]]),1,0)</f>
        <v>1</v>
      </c>
      <c r="AA95" s="14">
        <f ca="1">IF(Table25[[#This Row],[Start Date]]&gt;TODAY(),1,)</f>
        <v>0</v>
      </c>
    </row>
    <row r="96" spans="1:27" s="93" customFormat="1" ht="14.25" customHeight="1" x14ac:dyDescent="0.25">
      <c r="A96" s="52"/>
      <c r="B96" s="86" t="s">
        <v>53</v>
      </c>
      <c r="C96" s="87" t="s">
        <v>148</v>
      </c>
      <c r="D96" s="87" t="s">
        <v>149</v>
      </c>
      <c r="E96" s="86" t="s">
        <v>174</v>
      </c>
      <c r="F96" s="89">
        <v>45915</v>
      </c>
      <c r="G96" s="89">
        <v>45919</v>
      </c>
      <c r="H96" s="92">
        <v>0.33333333333333331</v>
      </c>
      <c r="I96" s="92"/>
      <c r="J96" s="92"/>
      <c r="K96" s="92"/>
      <c r="L96" s="92"/>
      <c r="M96" s="92"/>
      <c r="N96" s="92"/>
      <c r="O96" s="86"/>
      <c r="P96" s="86"/>
      <c r="Q96" s="14">
        <v>30</v>
      </c>
      <c r="R96" s="14">
        <v>5</v>
      </c>
      <c r="S96" s="90"/>
      <c r="T96" s="90"/>
      <c r="U96" s="14"/>
      <c r="V96" s="14"/>
      <c r="W96" s="14"/>
      <c r="X96" s="86"/>
      <c r="Y96" s="59">
        <f ca="1">Table25[[#This Row],[End Date]]+2-TODAY()</f>
        <v>103</v>
      </c>
      <c r="Z96" s="14">
        <f>IF(ISBLANK(Table25[[#This Row],[Roster Received By]]),1,0)</f>
        <v>1</v>
      </c>
      <c r="AA96" s="14">
        <f ca="1">IF(Table25[[#This Row],[Start Date]]&gt;TODAY(),1,)</f>
        <v>1</v>
      </c>
    </row>
    <row r="97" spans="1:27" s="93" customFormat="1" ht="14.25" hidden="1" customHeight="1" x14ac:dyDescent="0.25">
      <c r="A97" s="52"/>
      <c r="B97" s="54" t="s">
        <v>49</v>
      </c>
      <c r="C97" s="87" t="s">
        <v>133</v>
      </c>
      <c r="D97" s="87">
        <v>5891</v>
      </c>
      <c r="E97" s="54" t="s">
        <v>176</v>
      </c>
      <c r="F97" s="56">
        <v>45728</v>
      </c>
      <c r="G97" s="56">
        <v>45730</v>
      </c>
      <c r="H97" s="92">
        <v>0.33333333333333331</v>
      </c>
      <c r="I97" s="88"/>
      <c r="J97" s="89"/>
      <c r="K97" s="89"/>
      <c r="L97" s="89"/>
      <c r="M97" s="89"/>
      <c r="N97" s="89"/>
      <c r="O97" s="86"/>
      <c r="P97" s="86"/>
      <c r="Q97" s="14">
        <v>25</v>
      </c>
      <c r="R97" s="14">
        <v>3</v>
      </c>
      <c r="S97" s="14"/>
      <c r="T97" s="90"/>
      <c r="U97" s="14"/>
      <c r="V97" s="14"/>
      <c r="W97" s="14"/>
      <c r="X97" s="86"/>
      <c r="Y97" s="59">
        <f ca="1">Table25[[#This Row],[End Date]]+2-TODAY()</f>
        <v>-86</v>
      </c>
      <c r="Z97" s="14">
        <f>IF(ISBLANK(Table25[[#This Row],[Roster Received By]]),1,0)</f>
        <v>1</v>
      </c>
      <c r="AA97" s="14">
        <f ca="1">IF(Table25[[#This Row],[Start Date]]&gt;TODAY(),1,)</f>
        <v>0</v>
      </c>
    </row>
    <row r="98" spans="1:27" s="93" customFormat="1" ht="14.25" customHeight="1" x14ac:dyDescent="0.25">
      <c r="A98" s="52"/>
      <c r="B98" s="86" t="s">
        <v>53</v>
      </c>
      <c r="C98" s="87" t="s">
        <v>148</v>
      </c>
      <c r="D98" s="87" t="s">
        <v>149</v>
      </c>
      <c r="E98" s="86" t="s">
        <v>176</v>
      </c>
      <c r="F98" s="89">
        <v>45691</v>
      </c>
      <c r="G98" s="89">
        <v>45695</v>
      </c>
      <c r="H98" s="92">
        <v>0.33333333333333331</v>
      </c>
      <c r="I98" s="88"/>
      <c r="J98" s="92"/>
      <c r="K98" s="92"/>
      <c r="L98" s="92"/>
      <c r="M98" s="92"/>
      <c r="N98" s="92"/>
      <c r="O98" s="86"/>
      <c r="P98" s="86"/>
      <c r="Q98" s="14">
        <v>30</v>
      </c>
      <c r="R98" s="14">
        <v>5</v>
      </c>
      <c r="S98" s="14"/>
      <c r="T98" s="90"/>
      <c r="U98" s="14"/>
      <c r="V98" s="14"/>
      <c r="W98" s="14"/>
      <c r="X98" s="86"/>
      <c r="Y98" s="59">
        <f ca="1">Table25[[#This Row],[End Date]]+2-TODAY()</f>
        <v>-121</v>
      </c>
      <c r="Z98" s="14">
        <f>IF(ISBLANK(Table25[[#This Row],[Roster Received By]]),1,0)</f>
        <v>1</v>
      </c>
      <c r="AA98" s="14">
        <f ca="1">IF(Table25[[#This Row],[Start Date]]&gt;TODAY(),1,)</f>
        <v>0</v>
      </c>
    </row>
    <row r="99" spans="1:27" s="93" customFormat="1" ht="14.25" customHeight="1" x14ac:dyDescent="0.25">
      <c r="A99" s="52"/>
      <c r="B99" s="86" t="s">
        <v>53</v>
      </c>
      <c r="C99" s="87" t="s">
        <v>148</v>
      </c>
      <c r="D99" s="87" t="s">
        <v>149</v>
      </c>
      <c r="E99" s="86" t="s">
        <v>176</v>
      </c>
      <c r="F99" s="56">
        <v>45733</v>
      </c>
      <c r="G99" s="89">
        <v>45737</v>
      </c>
      <c r="H99" s="92">
        <v>0.33333333333333331</v>
      </c>
      <c r="I99" s="88"/>
      <c r="J99" s="88"/>
      <c r="K99" s="88"/>
      <c r="L99" s="88"/>
      <c r="M99" s="88"/>
      <c r="N99" s="88"/>
      <c r="O99" s="86"/>
      <c r="P99" s="86"/>
      <c r="Q99" s="14">
        <v>30</v>
      </c>
      <c r="R99" s="14">
        <v>5</v>
      </c>
      <c r="S99" s="14"/>
      <c r="T99" s="90"/>
      <c r="U99" s="14"/>
      <c r="V99" s="14"/>
      <c r="W99" s="14"/>
      <c r="X99" s="86"/>
      <c r="Y99" s="59">
        <f ca="1">Table25[[#This Row],[End Date]]+2-TODAY()</f>
        <v>-79</v>
      </c>
      <c r="Z99" s="14">
        <f>IF(ISBLANK(Table25[[#This Row],[Roster Received By]]),1,0)</f>
        <v>1</v>
      </c>
      <c r="AA99" s="14">
        <f ca="1">IF(Table25[[#This Row],[Start Date]]&gt;TODAY(),1,)</f>
        <v>0</v>
      </c>
    </row>
    <row r="100" spans="1:27" s="93" customFormat="1" ht="14.25" customHeight="1" x14ac:dyDescent="0.25">
      <c r="A100" s="52"/>
      <c r="B100" s="86" t="s">
        <v>53</v>
      </c>
      <c r="C100" s="87" t="s">
        <v>148</v>
      </c>
      <c r="D100" s="87" t="s">
        <v>149</v>
      </c>
      <c r="E100" s="86" t="s">
        <v>176</v>
      </c>
      <c r="F100" s="89">
        <v>45908</v>
      </c>
      <c r="G100" s="89">
        <v>45912</v>
      </c>
      <c r="H100" s="92">
        <v>0.33333333333333331</v>
      </c>
      <c r="I100" s="92"/>
      <c r="J100" s="92"/>
      <c r="K100" s="92"/>
      <c r="L100" s="92"/>
      <c r="M100" s="92"/>
      <c r="N100" s="92"/>
      <c r="O100" s="86"/>
      <c r="P100" s="86"/>
      <c r="Q100" s="14">
        <v>30</v>
      </c>
      <c r="R100" s="14">
        <v>5</v>
      </c>
      <c r="S100" s="14"/>
      <c r="T100" s="90"/>
      <c r="U100" s="14"/>
      <c r="V100" s="14"/>
      <c r="W100" s="14"/>
      <c r="X100" s="86"/>
      <c r="Y100" s="59">
        <f ca="1">Table25[[#This Row],[End Date]]+2-TODAY()</f>
        <v>96</v>
      </c>
      <c r="Z100" s="14">
        <f>IF(ISBLANK(Table25[[#This Row],[Roster Received By]]),1,0)</f>
        <v>1</v>
      </c>
      <c r="AA100" s="14">
        <f ca="1">IF(Table25[[#This Row],[Start Date]]&gt;TODAY(),1,)</f>
        <v>1</v>
      </c>
    </row>
    <row r="101" spans="1:27" s="93" customFormat="1" ht="14.25" hidden="1" customHeight="1" x14ac:dyDescent="0.25">
      <c r="A101" s="52"/>
      <c r="B101" s="86" t="s">
        <v>49</v>
      </c>
      <c r="C101" s="87" t="s">
        <v>133</v>
      </c>
      <c r="D101" s="87">
        <v>5891</v>
      </c>
      <c r="E101" s="86" t="s">
        <v>177</v>
      </c>
      <c r="F101" s="89">
        <v>45917</v>
      </c>
      <c r="G101" s="89">
        <v>45919</v>
      </c>
      <c r="H101" s="92">
        <v>0.33333333333333331</v>
      </c>
      <c r="I101" s="92"/>
      <c r="J101" s="92"/>
      <c r="K101" s="92"/>
      <c r="L101" s="92"/>
      <c r="M101" s="92"/>
      <c r="N101" s="89"/>
      <c r="O101" s="86"/>
      <c r="P101" s="86"/>
      <c r="Q101" s="14">
        <v>25</v>
      </c>
      <c r="R101" s="14">
        <v>3</v>
      </c>
      <c r="S101" s="14"/>
      <c r="T101" s="90"/>
      <c r="U101" s="14"/>
      <c r="V101" s="14"/>
      <c r="W101" s="14"/>
      <c r="X101" s="86"/>
      <c r="Y101" s="59">
        <f ca="1">Table25[[#This Row],[End Date]]+2-TODAY()</f>
        <v>103</v>
      </c>
      <c r="Z101" s="14">
        <f>IF(ISBLANK(Table25[[#This Row],[Roster Received By]]),1,0)</f>
        <v>1</v>
      </c>
      <c r="AA101" s="14">
        <f ca="1">IF(Table25[[#This Row],[Start Date]]&gt;TODAY(),1,)</f>
        <v>1</v>
      </c>
    </row>
    <row r="102" spans="1:27" s="93" customFormat="1" ht="14.25" customHeight="1" x14ac:dyDescent="0.25">
      <c r="A102" s="52"/>
      <c r="B102" s="86" t="s">
        <v>53</v>
      </c>
      <c r="C102" s="87" t="s">
        <v>148</v>
      </c>
      <c r="D102" s="87" t="s">
        <v>149</v>
      </c>
      <c r="E102" s="86" t="s">
        <v>177</v>
      </c>
      <c r="F102" s="89">
        <v>45922</v>
      </c>
      <c r="G102" s="89">
        <v>45926</v>
      </c>
      <c r="H102" s="92">
        <v>0.33333333333333331</v>
      </c>
      <c r="I102" s="92"/>
      <c r="J102" s="89"/>
      <c r="K102" s="89"/>
      <c r="L102" s="89"/>
      <c r="M102" s="89"/>
      <c r="N102" s="89"/>
      <c r="O102" s="86"/>
      <c r="P102" s="86"/>
      <c r="Q102" s="14">
        <v>30</v>
      </c>
      <c r="R102" s="14">
        <v>5</v>
      </c>
      <c r="S102" s="14"/>
      <c r="T102" s="90"/>
      <c r="U102" s="14"/>
      <c r="V102" s="14"/>
      <c r="W102" s="14"/>
      <c r="X102" s="86"/>
      <c r="Y102" s="59">
        <f ca="1">Table25[[#This Row],[End Date]]+2-TODAY()</f>
        <v>110</v>
      </c>
      <c r="Z102" s="14">
        <f>IF(ISBLANK(Table25[[#This Row],[Roster Received By]]),1,0)</f>
        <v>1</v>
      </c>
      <c r="AA102" s="14">
        <f ca="1">IF(Table25[[#This Row],[Start Date]]&gt;TODAY(),1,)</f>
        <v>1</v>
      </c>
    </row>
    <row r="103" spans="1:27" s="93" customFormat="1" ht="14.25" customHeight="1" x14ac:dyDescent="0.25">
      <c r="A103" s="52"/>
      <c r="B103" s="86" t="s">
        <v>53</v>
      </c>
      <c r="C103" s="87" t="s">
        <v>148</v>
      </c>
      <c r="D103" s="87" t="s">
        <v>149</v>
      </c>
      <c r="E103" s="86" t="s">
        <v>421</v>
      </c>
      <c r="F103" s="56">
        <v>45866</v>
      </c>
      <c r="G103" s="56">
        <v>45870</v>
      </c>
      <c r="H103" s="92">
        <v>0.33333333333333331</v>
      </c>
      <c r="I103" s="88"/>
      <c r="J103" s="88"/>
      <c r="K103" s="88"/>
      <c r="L103" s="88"/>
      <c r="M103" s="88"/>
      <c r="N103" s="88"/>
      <c r="O103" s="86"/>
      <c r="P103" s="86"/>
      <c r="Q103" s="14">
        <v>30</v>
      </c>
      <c r="R103" s="14">
        <v>5</v>
      </c>
      <c r="S103" s="14"/>
      <c r="T103" s="90"/>
      <c r="U103" s="14"/>
      <c r="V103" s="14"/>
      <c r="W103" s="87"/>
      <c r="X103" s="86"/>
      <c r="Y103" s="59">
        <f ca="1">Table25[[#This Row],[End Date]]+2-TODAY()</f>
        <v>54</v>
      </c>
      <c r="Z103" s="14">
        <f>IF(ISBLANK(Table25[[#This Row],[Roster Received By]]),1,0)</f>
        <v>1</v>
      </c>
      <c r="AA103" s="14">
        <f ca="1">IF(Table25[[#This Row],[Start Date]]&gt;TODAY(),1,)</f>
        <v>1</v>
      </c>
    </row>
    <row r="104" spans="1:27" s="122" customFormat="1" hidden="1" x14ac:dyDescent="0.25">
      <c r="A104" s="86"/>
      <c r="B104" s="86" t="s">
        <v>49</v>
      </c>
      <c r="C104" s="87" t="s">
        <v>133</v>
      </c>
      <c r="D104" s="87">
        <v>5891</v>
      </c>
      <c r="E104" s="86" t="s">
        <v>178</v>
      </c>
      <c r="F104" s="89">
        <v>45882</v>
      </c>
      <c r="G104" s="89">
        <v>45884</v>
      </c>
      <c r="H104" s="92">
        <v>0.33333333333333331</v>
      </c>
      <c r="I104" s="88"/>
      <c r="J104" s="88"/>
      <c r="K104" s="88"/>
      <c r="L104" s="88"/>
      <c r="M104" s="88"/>
      <c r="N104" s="88"/>
      <c r="O104" s="86"/>
      <c r="P104" s="86"/>
      <c r="Q104" s="14">
        <v>25</v>
      </c>
      <c r="R104" s="14">
        <v>3</v>
      </c>
      <c r="S104" s="14"/>
      <c r="T104" s="90"/>
      <c r="U104" s="14"/>
      <c r="V104" s="14"/>
      <c r="W104" s="14"/>
      <c r="X104" s="86"/>
      <c r="Y104" s="59">
        <f ca="1">Table25[[#This Row],[End Date]]+2-TODAY()</f>
        <v>68</v>
      </c>
      <c r="Z104" s="14">
        <f>IF(ISBLANK(Table25[[#This Row],[Roster Received By]]),1,0)</f>
        <v>1</v>
      </c>
      <c r="AA104" s="14">
        <f ca="1">IF(Table25[[#This Row],[Start Date]]&gt;TODAY(),1,)</f>
        <v>1</v>
      </c>
    </row>
    <row r="105" spans="1:27" s="93" customFormat="1" ht="14.25" customHeight="1" x14ac:dyDescent="0.25">
      <c r="A105" s="52"/>
      <c r="B105" s="86" t="s">
        <v>53</v>
      </c>
      <c r="C105" s="87" t="s">
        <v>148</v>
      </c>
      <c r="D105" s="87" t="s">
        <v>149</v>
      </c>
      <c r="E105" s="54" t="s">
        <v>178</v>
      </c>
      <c r="F105" s="89">
        <v>45887</v>
      </c>
      <c r="G105" s="89">
        <v>45891</v>
      </c>
      <c r="H105" s="92">
        <v>0.33333333333333331</v>
      </c>
      <c r="I105" s="92"/>
      <c r="J105" s="89"/>
      <c r="K105" s="89"/>
      <c r="L105" s="89"/>
      <c r="M105" s="89"/>
      <c r="N105" s="89"/>
      <c r="O105" s="86"/>
      <c r="P105" s="86"/>
      <c r="Q105" s="14">
        <v>30</v>
      </c>
      <c r="R105" s="14">
        <v>5</v>
      </c>
      <c r="S105" s="14"/>
      <c r="T105" s="90"/>
      <c r="U105" s="14"/>
      <c r="V105" s="14"/>
      <c r="W105" s="14"/>
      <c r="X105" s="86"/>
      <c r="Y105" s="59">
        <f ca="1">Table25[[#This Row],[End Date]]+2-TODAY()</f>
        <v>75</v>
      </c>
      <c r="Z105" s="14">
        <f>IF(ISBLANK(Table25[[#This Row],[Roster Received By]]),1,0)</f>
        <v>1</v>
      </c>
      <c r="AA105" s="14">
        <f ca="1">IF(Table25[[#This Row],[Start Date]]&gt;TODAY(),1,)</f>
        <v>1</v>
      </c>
    </row>
    <row r="106" spans="1:27" s="122" customFormat="1" ht="14.25" hidden="1" customHeight="1" x14ac:dyDescent="0.25">
      <c r="A106" s="52"/>
      <c r="B106" s="86" t="s">
        <v>49</v>
      </c>
      <c r="C106" s="87" t="s">
        <v>133</v>
      </c>
      <c r="D106" s="87">
        <v>5891</v>
      </c>
      <c r="E106" s="86" t="s">
        <v>179</v>
      </c>
      <c r="F106" s="89">
        <v>45707</v>
      </c>
      <c r="G106" s="89">
        <v>45709</v>
      </c>
      <c r="H106" s="92">
        <v>0.33333333333333331</v>
      </c>
      <c r="I106" s="88"/>
      <c r="J106" s="88"/>
      <c r="K106" s="88"/>
      <c r="L106" s="88"/>
      <c r="M106" s="88"/>
      <c r="N106" s="88"/>
      <c r="O106" s="86"/>
      <c r="P106" s="86"/>
      <c r="Q106" s="14">
        <v>25</v>
      </c>
      <c r="R106" s="14">
        <v>3</v>
      </c>
      <c r="S106" s="14"/>
      <c r="T106" s="90"/>
      <c r="U106" s="14"/>
      <c r="V106" s="14"/>
      <c r="W106" s="14"/>
      <c r="X106" s="86"/>
      <c r="Y106" s="59">
        <f ca="1">Table25[[#This Row],[End Date]]+2-TODAY()</f>
        <v>-107</v>
      </c>
      <c r="Z106" s="14">
        <f>IF(ISBLANK(Table25[[#This Row],[Roster Received By]]),1,0)</f>
        <v>1</v>
      </c>
      <c r="AA106" s="14">
        <f ca="1">IF(Table25[[#This Row],[Start Date]]&gt;TODAY(),1,)</f>
        <v>0</v>
      </c>
    </row>
    <row r="107" spans="1:27" s="93" customFormat="1" ht="16.5" customHeight="1" x14ac:dyDescent="0.25">
      <c r="A107" s="52"/>
      <c r="B107" s="86" t="s">
        <v>53</v>
      </c>
      <c r="C107" s="87" t="s">
        <v>148</v>
      </c>
      <c r="D107" s="87" t="s">
        <v>149</v>
      </c>
      <c r="E107" s="54" t="s">
        <v>179</v>
      </c>
      <c r="F107" s="89">
        <v>45712</v>
      </c>
      <c r="G107" s="89">
        <v>45716</v>
      </c>
      <c r="H107" s="92">
        <v>0.33333333333333331</v>
      </c>
      <c r="I107" s="95"/>
      <c r="J107" s="89"/>
      <c r="K107" s="89"/>
      <c r="L107" s="89"/>
      <c r="M107" s="89"/>
      <c r="N107" s="89"/>
      <c r="O107" s="86"/>
      <c r="P107" s="86"/>
      <c r="Q107" s="14">
        <v>30</v>
      </c>
      <c r="R107" s="14">
        <v>5</v>
      </c>
      <c r="S107" s="14"/>
      <c r="T107" s="90"/>
      <c r="U107" s="14"/>
      <c r="V107" s="14"/>
      <c r="W107" s="90"/>
      <c r="X107" s="86"/>
      <c r="Y107" s="59">
        <f ca="1">Table25[[#This Row],[End Date]]+2-TODAY()</f>
        <v>-100</v>
      </c>
      <c r="Z107" s="14">
        <f>IF(ISBLANK(Table25[[#This Row],[Roster Received By]]),1,0)</f>
        <v>1</v>
      </c>
      <c r="AA107" s="14">
        <f ca="1">IF(Table25[[#This Row],[Start Date]]&gt;TODAY(),1,)</f>
        <v>0</v>
      </c>
    </row>
    <row r="108" spans="1:27" s="93" customFormat="1" ht="14.25" hidden="1" customHeight="1" x14ac:dyDescent="0.25">
      <c r="A108" s="52" t="s">
        <v>492</v>
      </c>
      <c r="B108" s="86" t="s">
        <v>49</v>
      </c>
      <c r="C108" s="87" t="s">
        <v>133</v>
      </c>
      <c r="D108" s="87">
        <v>5891</v>
      </c>
      <c r="E108" s="86"/>
      <c r="F108" s="89">
        <v>45609</v>
      </c>
      <c r="G108" s="89">
        <v>45611</v>
      </c>
      <c r="H108" s="92">
        <v>0.33333333333333331</v>
      </c>
      <c r="I108" s="92"/>
      <c r="J108" s="92"/>
      <c r="K108" s="92"/>
      <c r="L108" s="92"/>
      <c r="M108" s="92"/>
      <c r="N108" s="89"/>
      <c r="O108" s="86"/>
      <c r="P108" s="86"/>
      <c r="Q108" s="14">
        <v>25</v>
      </c>
      <c r="R108" s="14">
        <v>3</v>
      </c>
      <c r="S108" s="14"/>
      <c r="T108" s="90"/>
      <c r="U108" s="14"/>
      <c r="V108" s="14"/>
      <c r="W108" s="14"/>
      <c r="X108" s="86"/>
      <c r="Y108" s="59">
        <f ca="1">Table25[[#This Row],[End Date]]+2-TODAY()</f>
        <v>-205</v>
      </c>
      <c r="Z108" s="14">
        <f>IF(ISBLANK(Table25[[#This Row],[Roster Received By]]),1,0)</f>
        <v>1</v>
      </c>
      <c r="AA108" s="14">
        <f ca="1">IF(Table25[[#This Row],[Start Date]]&gt;TODAY(),1,)</f>
        <v>0</v>
      </c>
    </row>
    <row r="109" spans="1:27" s="93" customFormat="1" ht="14.25" hidden="1" customHeight="1" x14ac:dyDescent="0.25">
      <c r="A109" s="52" t="s">
        <v>492</v>
      </c>
      <c r="B109" s="86" t="s">
        <v>49</v>
      </c>
      <c r="C109" s="87" t="s">
        <v>133</v>
      </c>
      <c r="D109" s="87">
        <v>5891</v>
      </c>
      <c r="E109" s="86"/>
      <c r="F109" s="89">
        <v>45629</v>
      </c>
      <c r="G109" s="89">
        <v>45631</v>
      </c>
      <c r="H109" s="92">
        <v>0.33333333333333331</v>
      </c>
      <c r="I109" s="92"/>
      <c r="J109" s="88"/>
      <c r="K109" s="88"/>
      <c r="L109" s="88"/>
      <c r="M109" s="88"/>
      <c r="N109" s="88"/>
      <c r="O109" s="86"/>
      <c r="P109" s="86"/>
      <c r="Q109" s="14">
        <v>25</v>
      </c>
      <c r="R109" s="14">
        <v>3</v>
      </c>
      <c r="S109" s="14"/>
      <c r="T109" s="90"/>
      <c r="U109" s="14"/>
      <c r="V109" s="14"/>
      <c r="W109" s="14"/>
      <c r="X109" s="86"/>
      <c r="Y109" s="59">
        <f ca="1">Table25[[#This Row],[End Date]]+2-TODAY()</f>
        <v>-185</v>
      </c>
      <c r="Z109" s="14">
        <f>IF(ISBLANK(Table25[[#This Row],[Roster Received By]]),1,0)</f>
        <v>1</v>
      </c>
      <c r="AA109" s="14">
        <f ca="1">IF(Table25[[#This Row],[Start Date]]&gt;TODAY(),1,)</f>
        <v>0</v>
      </c>
    </row>
    <row r="110" spans="1:27" s="93" customFormat="1" ht="14.25" hidden="1" customHeight="1" x14ac:dyDescent="0.25">
      <c r="A110" s="52" t="s">
        <v>492</v>
      </c>
      <c r="B110" s="86" t="s">
        <v>49</v>
      </c>
      <c r="C110" s="87" t="s">
        <v>133</v>
      </c>
      <c r="D110" s="87">
        <v>5891</v>
      </c>
      <c r="E110" s="86"/>
      <c r="F110" s="89">
        <v>45748</v>
      </c>
      <c r="G110" s="89">
        <v>45750</v>
      </c>
      <c r="H110" s="92">
        <v>0.33333333333333331</v>
      </c>
      <c r="I110" s="88"/>
      <c r="J110" s="88"/>
      <c r="K110" s="88"/>
      <c r="L110" s="88"/>
      <c r="M110" s="88"/>
      <c r="N110" s="88"/>
      <c r="O110" s="86"/>
      <c r="P110" s="86"/>
      <c r="Q110" s="14">
        <v>25</v>
      </c>
      <c r="R110" s="14">
        <v>3</v>
      </c>
      <c r="S110" s="14"/>
      <c r="T110" s="90"/>
      <c r="U110" s="14"/>
      <c r="V110" s="14"/>
      <c r="W110" s="87"/>
      <c r="X110" s="86"/>
      <c r="Y110" s="59">
        <f ca="1">Table25[[#This Row],[End Date]]+2-TODAY()</f>
        <v>-66</v>
      </c>
      <c r="Z110" s="14">
        <f>IF(ISBLANK(Table25[[#This Row],[Roster Received By]]),1,0)</f>
        <v>1</v>
      </c>
      <c r="AA110" s="14">
        <f ca="1">IF(Table25[[#This Row],[Start Date]]&gt;TODAY(),1,)</f>
        <v>0</v>
      </c>
    </row>
    <row r="111" spans="1:27" s="93" customFormat="1" ht="14.25" customHeight="1" x14ac:dyDescent="0.25">
      <c r="A111" s="52" t="s">
        <v>492</v>
      </c>
      <c r="B111" s="86" t="s">
        <v>53</v>
      </c>
      <c r="C111" s="87" t="s">
        <v>148</v>
      </c>
      <c r="D111" s="87" t="s">
        <v>149</v>
      </c>
      <c r="E111" s="54"/>
      <c r="F111" s="89">
        <v>45635</v>
      </c>
      <c r="G111" s="89">
        <v>45639</v>
      </c>
      <c r="H111" s="92">
        <v>0.33333333333333331</v>
      </c>
      <c r="I111" s="95"/>
      <c r="J111" s="89"/>
      <c r="K111" s="89"/>
      <c r="L111" s="89"/>
      <c r="M111" s="89"/>
      <c r="N111" s="89"/>
      <c r="O111" s="86"/>
      <c r="P111" s="86"/>
      <c r="Q111" s="14">
        <v>30</v>
      </c>
      <c r="R111" s="14">
        <v>5</v>
      </c>
      <c r="S111" s="14"/>
      <c r="T111" s="90"/>
      <c r="U111" s="14"/>
      <c r="V111" s="14"/>
      <c r="W111" s="14"/>
      <c r="X111" s="86"/>
      <c r="Y111" s="59">
        <f ca="1">Table25[[#This Row],[End Date]]+2-TODAY()</f>
        <v>-177</v>
      </c>
      <c r="Z111" s="14">
        <f>IF(ISBLANK(Table25[[#This Row],[Roster Received By]]),1,0)</f>
        <v>1</v>
      </c>
      <c r="AA111" s="14">
        <f ca="1">IF(Table25[[#This Row],[Start Date]]&gt;TODAY(),1,)</f>
        <v>0</v>
      </c>
    </row>
    <row r="112" spans="1:27" s="93" customFormat="1" ht="14.25" customHeight="1" x14ac:dyDescent="0.25">
      <c r="A112" s="52" t="s">
        <v>492</v>
      </c>
      <c r="B112" s="86" t="s">
        <v>53</v>
      </c>
      <c r="C112" s="87" t="s">
        <v>148</v>
      </c>
      <c r="D112" s="87" t="s">
        <v>149</v>
      </c>
      <c r="E112" s="86"/>
      <c r="F112" s="56">
        <v>45810</v>
      </c>
      <c r="G112" s="56">
        <v>45814</v>
      </c>
      <c r="H112" s="92">
        <v>0.33333333333333331</v>
      </c>
      <c r="I112" s="88"/>
      <c r="J112" s="88"/>
      <c r="K112" s="88"/>
      <c r="L112" s="88"/>
      <c r="M112" s="88"/>
      <c r="N112" s="88"/>
      <c r="O112" s="86"/>
      <c r="P112" s="86"/>
      <c r="Q112" s="14">
        <v>30</v>
      </c>
      <c r="R112" s="14">
        <v>5</v>
      </c>
      <c r="S112" s="94"/>
      <c r="T112" s="90"/>
      <c r="U112" s="14"/>
      <c r="V112" s="14"/>
      <c r="W112" s="14"/>
      <c r="X112" s="86"/>
      <c r="Y112" s="59">
        <f ca="1">Table25[[#This Row],[End Date]]+2-TODAY()</f>
        <v>-2</v>
      </c>
      <c r="Z112" s="14">
        <f>IF(ISBLANK(Table25[[#This Row],[Roster Received By]]),1,0)</f>
        <v>1</v>
      </c>
      <c r="AA112" s="14">
        <f ca="1">IF(Table25[[#This Row],[Start Date]]&gt;TODAY(),1,)</f>
        <v>0</v>
      </c>
    </row>
    <row r="113" spans="1:27" s="93" customFormat="1" ht="14.25" hidden="1" customHeight="1" x14ac:dyDescent="0.25">
      <c r="A113" s="52"/>
      <c r="B113" s="86"/>
      <c r="C113" s="87" t="e">
        <v>#N/A</v>
      </c>
      <c r="D113" s="87" t="e">
        <v>#N/A</v>
      </c>
      <c r="E113" s="54"/>
      <c r="F113" s="56"/>
      <c r="G113" s="56"/>
      <c r="H113" s="88"/>
      <c r="I113" s="88"/>
      <c r="J113" s="89"/>
      <c r="K113" s="89"/>
      <c r="L113" s="89"/>
      <c r="M113" s="89"/>
      <c r="N113" s="89"/>
      <c r="O113" s="86"/>
      <c r="P113" s="86"/>
      <c r="Q113" s="14" t="e">
        <v>#N/A</v>
      </c>
      <c r="R113" s="14" t="e">
        <v>#N/A</v>
      </c>
      <c r="S113" s="14"/>
      <c r="T113" s="90"/>
      <c r="U113" s="14"/>
      <c r="V113" s="14"/>
      <c r="W113" s="14"/>
      <c r="X113" s="86"/>
      <c r="Y113" s="59">
        <f ca="1">Table25[[#This Row],[End Date]]+2-TODAY()</f>
        <v>-45816</v>
      </c>
      <c r="Z113" s="14">
        <f>IF(ISBLANK(Table25[[#This Row],[Roster Received By]]),1,0)</f>
        <v>1</v>
      </c>
      <c r="AA113" s="14">
        <f ca="1">IF(Table25[[#This Row],[Start Date]]&gt;TODAY(),1,)</f>
        <v>0</v>
      </c>
    </row>
    <row r="114" spans="1:27" s="93" customFormat="1" ht="14.25" hidden="1" customHeight="1" x14ac:dyDescent="0.25">
      <c r="A114" s="52"/>
      <c r="B114" s="86"/>
      <c r="C114" s="87" t="e">
        <v>#N/A</v>
      </c>
      <c r="D114" s="87" t="e">
        <v>#N/A</v>
      </c>
      <c r="E114" s="86"/>
      <c r="F114" s="56"/>
      <c r="G114" s="89"/>
      <c r="H114" s="89"/>
      <c r="I114" s="88"/>
      <c r="J114" s="88"/>
      <c r="K114" s="88"/>
      <c r="L114" s="88"/>
      <c r="M114" s="88"/>
      <c r="N114" s="88"/>
      <c r="O114" s="86"/>
      <c r="P114" s="86"/>
      <c r="Q114" s="14" t="e">
        <v>#N/A</v>
      </c>
      <c r="R114" s="14" t="e">
        <v>#N/A</v>
      </c>
      <c r="S114" s="14"/>
      <c r="T114" s="90"/>
      <c r="U114" s="14"/>
      <c r="V114" s="14"/>
      <c r="W114" s="14"/>
      <c r="X114" s="86"/>
      <c r="Y114" s="59">
        <f ca="1">Table25[[#This Row],[End Date]]+2-TODAY()</f>
        <v>-45816</v>
      </c>
      <c r="Z114" s="14">
        <f>IF(ISBLANK(Table25[[#This Row],[Roster Received By]]),1,0)</f>
        <v>1</v>
      </c>
      <c r="AA114" s="14">
        <f ca="1">IF(Table25[[#This Row],[Start Date]]&gt;TODAY(),1,)</f>
        <v>0</v>
      </c>
    </row>
    <row r="115" spans="1:27" s="93" customFormat="1" ht="14.25" hidden="1" customHeight="1" x14ac:dyDescent="0.25">
      <c r="A115" s="52"/>
      <c r="B115" s="86"/>
      <c r="C115" s="87" t="e">
        <v>#N/A</v>
      </c>
      <c r="D115" s="87" t="e">
        <v>#N/A</v>
      </c>
      <c r="E115" s="86"/>
      <c r="F115" s="89"/>
      <c r="G115" s="89"/>
      <c r="H115" s="92"/>
      <c r="I115" s="92"/>
      <c r="J115" s="89"/>
      <c r="K115" s="89"/>
      <c r="L115" s="89"/>
      <c r="M115" s="89"/>
      <c r="N115" s="89"/>
      <c r="O115" s="86"/>
      <c r="P115" s="86"/>
      <c r="Q115" s="14" t="e">
        <v>#N/A</v>
      </c>
      <c r="R115" s="14" t="e">
        <v>#N/A</v>
      </c>
      <c r="S115" s="14"/>
      <c r="T115" s="90"/>
      <c r="U115" s="14"/>
      <c r="V115" s="14"/>
      <c r="W115" s="14"/>
      <c r="X115" s="86"/>
      <c r="Y115" s="59">
        <f ca="1">Table25[[#This Row],[End Date]]+2-TODAY()</f>
        <v>-45816</v>
      </c>
      <c r="Z115" s="14">
        <f>IF(ISBLANK(Table25[[#This Row],[Roster Received By]]),1,0)</f>
        <v>1</v>
      </c>
      <c r="AA115" s="14">
        <f ca="1">IF(Table25[[#This Row],[Start Date]]&gt;TODAY(),1,)</f>
        <v>0</v>
      </c>
    </row>
    <row r="116" spans="1:27" s="93" customFormat="1" ht="14.25" hidden="1" customHeight="1" x14ac:dyDescent="0.25">
      <c r="A116" s="52"/>
      <c r="B116" s="86"/>
      <c r="C116" s="87" t="e">
        <v>#N/A</v>
      </c>
      <c r="D116" s="87" t="e">
        <v>#N/A</v>
      </c>
      <c r="E116" s="86"/>
      <c r="F116" s="89"/>
      <c r="G116" s="89"/>
      <c r="H116" s="92"/>
      <c r="I116" s="92"/>
      <c r="J116" s="92"/>
      <c r="K116" s="92"/>
      <c r="L116" s="92"/>
      <c r="M116" s="92"/>
      <c r="N116" s="89"/>
      <c r="O116" s="86"/>
      <c r="P116" s="86"/>
      <c r="Q116" s="14" t="e">
        <v>#N/A</v>
      </c>
      <c r="R116" s="14" t="e">
        <v>#N/A</v>
      </c>
      <c r="S116" s="14"/>
      <c r="T116" s="90"/>
      <c r="U116" s="14"/>
      <c r="V116" s="14"/>
      <c r="W116" s="14"/>
      <c r="X116" s="86"/>
      <c r="Y116" s="59">
        <f ca="1">Table25[[#This Row],[End Date]]+2-TODAY()</f>
        <v>-45816</v>
      </c>
      <c r="Z116" s="14">
        <f>IF(ISBLANK(Table25[[#This Row],[Roster Received By]]),1,0)</f>
        <v>1</v>
      </c>
      <c r="AA116" s="14">
        <f ca="1">IF(Table25[[#This Row],[Start Date]]&gt;TODAY(),1,)</f>
        <v>0</v>
      </c>
    </row>
    <row r="117" spans="1:27" s="93" customFormat="1" ht="14.25" hidden="1" customHeight="1" x14ac:dyDescent="0.25">
      <c r="A117" s="52"/>
      <c r="B117" s="86"/>
      <c r="C117" s="87" t="e">
        <v>#N/A</v>
      </c>
      <c r="D117" s="87" t="e">
        <v>#N/A</v>
      </c>
      <c r="E117" s="86"/>
      <c r="F117" s="89"/>
      <c r="G117" s="89"/>
      <c r="H117" s="92"/>
      <c r="I117" s="92"/>
      <c r="J117" s="89"/>
      <c r="K117" s="89"/>
      <c r="L117" s="89"/>
      <c r="M117" s="89"/>
      <c r="N117" s="89"/>
      <c r="O117" s="86"/>
      <c r="P117" s="86"/>
      <c r="Q117" s="14" t="e">
        <v>#N/A</v>
      </c>
      <c r="R117" s="14" t="e">
        <v>#N/A</v>
      </c>
      <c r="S117" s="14"/>
      <c r="T117" s="90"/>
      <c r="U117" s="14"/>
      <c r="V117" s="14"/>
      <c r="W117" s="14"/>
      <c r="X117" s="86"/>
      <c r="Y117" s="59">
        <f ca="1">Table25[[#This Row],[End Date]]+2-TODAY()</f>
        <v>-45816</v>
      </c>
      <c r="Z117" s="14">
        <f>IF(ISBLANK(Table25[[#This Row],[Roster Received By]]),1,0)</f>
        <v>1</v>
      </c>
      <c r="AA117" s="14">
        <f ca="1">IF(Table25[[#This Row],[Start Date]]&gt;TODAY(),1,)</f>
        <v>0</v>
      </c>
    </row>
    <row r="118" spans="1:27" s="93" customFormat="1" ht="14.25" hidden="1" customHeight="1" x14ac:dyDescent="0.25">
      <c r="A118" s="52"/>
      <c r="B118" s="86"/>
      <c r="C118" s="87" t="e">
        <v>#N/A</v>
      </c>
      <c r="D118" s="87" t="e">
        <v>#N/A</v>
      </c>
      <c r="E118" s="86"/>
      <c r="F118" s="89"/>
      <c r="G118" s="89"/>
      <c r="H118" s="89"/>
      <c r="I118" s="88"/>
      <c r="J118" s="88"/>
      <c r="K118" s="88"/>
      <c r="L118" s="88"/>
      <c r="M118" s="88"/>
      <c r="N118" s="88"/>
      <c r="O118" s="86"/>
      <c r="P118" s="86"/>
      <c r="Q118" s="14" t="e">
        <v>#N/A</v>
      </c>
      <c r="R118" s="14" t="e">
        <v>#N/A</v>
      </c>
      <c r="S118" s="14"/>
      <c r="T118" s="90"/>
      <c r="U118" s="14"/>
      <c r="V118" s="14"/>
      <c r="W118" s="14"/>
      <c r="X118" s="86"/>
      <c r="Y118" s="59">
        <f ca="1">Table25[[#This Row],[End Date]]+2-TODAY()</f>
        <v>-45816</v>
      </c>
      <c r="Z118" s="14">
        <f>IF(ISBLANK(Table25[[#This Row],[Roster Received By]]),1,0)</f>
        <v>1</v>
      </c>
      <c r="AA118" s="14">
        <f ca="1">IF(Table25[[#This Row],[Start Date]]&gt;TODAY(),1,)</f>
        <v>0</v>
      </c>
    </row>
    <row r="119" spans="1:27" s="93" customFormat="1" ht="14.25" hidden="1" customHeight="1" x14ac:dyDescent="0.25">
      <c r="A119" s="52"/>
      <c r="B119" s="86"/>
      <c r="C119" s="87" t="e">
        <v>#N/A</v>
      </c>
      <c r="D119" s="87" t="e">
        <v>#N/A</v>
      </c>
      <c r="E119" s="86"/>
      <c r="F119" s="56"/>
      <c r="G119" s="56"/>
      <c r="H119" s="56"/>
      <c r="I119" s="88"/>
      <c r="J119" s="88"/>
      <c r="K119" s="88"/>
      <c r="L119" s="88"/>
      <c r="M119" s="88"/>
      <c r="N119" s="88"/>
      <c r="O119" s="86"/>
      <c r="P119" s="86"/>
      <c r="Q119" s="14" t="e">
        <v>#N/A</v>
      </c>
      <c r="R119" s="14" t="e">
        <v>#N/A</v>
      </c>
      <c r="S119" s="14"/>
      <c r="T119" s="90"/>
      <c r="U119" s="14"/>
      <c r="V119" s="14"/>
      <c r="W119" s="14"/>
      <c r="X119" s="86"/>
      <c r="Y119" s="59">
        <f ca="1">Table25[[#This Row],[End Date]]+2-TODAY()</f>
        <v>-45816</v>
      </c>
      <c r="Z119" s="14">
        <f>IF(ISBLANK(Table25[[#This Row],[Roster Received By]]),1,0)</f>
        <v>1</v>
      </c>
      <c r="AA119" s="14">
        <f ca="1">IF(Table25[[#This Row],[Start Date]]&gt;TODAY(),1,)</f>
        <v>0</v>
      </c>
    </row>
    <row r="120" spans="1:27" s="93" customFormat="1" ht="14.25" hidden="1" customHeight="1" x14ac:dyDescent="0.25">
      <c r="A120" s="86"/>
      <c r="B120" s="86"/>
      <c r="C120" s="87" t="e">
        <v>#N/A</v>
      </c>
      <c r="D120" s="87" t="e">
        <v>#N/A</v>
      </c>
      <c r="E120" s="86"/>
      <c r="F120" s="89"/>
      <c r="G120" s="89"/>
      <c r="H120" s="89"/>
      <c r="I120" s="88"/>
      <c r="J120" s="88"/>
      <c r="K120" s="88"/>
      <c r="L120" s="88"/>
      <c r="M120" s="88"/>
      <c r="N120" s="88"/>
      <c r="O120" s="86"/>
      <c r="P120" s="86"/>
      <c r="Q120" s="14" t="e">
        <v>#N/A</v>
      </c>
      <c r="R120" s="14" t="e">
        <v>#N/A</v>
      </c>
      <c r="S120" s="14"/>
      <c r="T120" s="90"/>
      <c r="U120" s="14"/>
      <c r="V120" s="14"/>
      <c r="W120" s="14"/>
      <c r="X120" s="86"/>
      <c r="Y120" s="59">
        <f ca="1">Table25[[#This Row],[End Date]]+2-TODAY()</f>
        <v>-45816</v>
      </c>
      <c r="Z120" s="14">
        <f>IF(ISBLANK(Table25[[#This Row],[Roster Received By]]),1,0)</f>
        <v>1</v>
      </c>
      <c r="AA120" s="14">
        <f ca="1">IF(Table25[[#This Row],[Start Date]]&gt;TODAY(),1,)</f>
        <v>0</v>
      </c>
    </row>
    <row r="121" spans="1:27" s="93" customFormat="1" ht="14.25" hidden="1" customHeight="1" x14ac:dyDescent="0.25">
      <c r="A121" s="52"/>
      <c r="B121" s="86"/>
      <c r="C121" s="87" t="e">
        <v>#N/A</v>
      </c>
      <c r="D121" s="87" t="e">
        <v>#N/A</v>
      </c>
      <c r="E121" s="128"/>
      <c r="F121" s="56"/>
      <c r="G121" s="89"/>
      <c r="H121" s="92"/>
      <c r="I121" s="92"/>
      <c r="J121" s="89"/>
      <c r="K121" s="89"/>
      <c r="L121" s="89"/>
      <c r="M121" s="89"/>
      <c r="N121" s="89"/>
      <c r="O121" s="86"/>
      <c r="P121" s="86"/>
      <c r="Q121" s="14" t="e">
        <v>#N/A</v>
      </c>
      <c r="R121" s="14" t="e">
        <v>#N/A</v>
      </c>
      <c r="S121" s="14"/>
      <c r="T121" s="90"/>
      <c r="U121" s="14"/>
      <c r="V121" s="14"/>
      <c r="W121" s="87"/>
      <c r="X121" s="86"/>
      <c r="Y121" s="59">
        <f ca="1">Table25[[#This Row],[End Date]]+2-TODAY()</f>
        <v>-45816</v>
      </c>
      <c r="Z121" s="14">
        <f>IF(ISBLANK(Table25[[#This Row],[Roster Received By]]),1,0)</f>
        <v>1</v>
      </c>
      <c r="AA121" s="14">
        <f ca="1">IF(Table25[[#This Row],[Start Date]]&gt;TODAY(),1,)</f>
        <v>0</v>
      </c>
    </row>
    <row r="122" spans="1:27" s="93" customFormat="1" ht="14.25" hidden="1" customHeight="1" x14ac:dyDescent="0.25">
      <c r="A122" s="52"/>
      <c r="B122" s="86"/>
      <c r="C122" s="87" t="e">
        <v>#N/A</v>
      </c>
      <c r="D122" s="87" t="e">
        <v>#N/A</v>
      </c>
      <c r="E122" s="86"/>
      <c r="F122" s="89"/>
      <c r="G122" s="89"/>
      <c r="H122" s="92"/>
      <c r="I122" s="92"/>
      <c r="J122" s="89"/>
      <c r="K122" s="89"/>
      <c r="L122" s="89"/>
      <c r="M122" s="89"/>
      <c r="N122" s="89"/>
      <c r="O122" s="86"/>
      <c r="P122" s="86"/>
      <c r="Q122" s="14" t="e">
        <v>#N/A</v>
      </c>
      <c r="R122" s="14" t="e">
        <v>#N/A</v>
      </c>
      <c r="S122" s="14"/>
      <c r="T122" s="90"/>
      <c r="U122" s="14"/>
      <c r="V122" s="14"/>
      <c r="W122" s="14"/>
      <c r="X122" s="86"/>
      <c r="Y122" s="59">
        <f ca="1">Table25[[#This Row],[End Date]]+2-TODAY()</f>
        <v>-45816</v>
      </c>
      <c r="Z122" s="14">
        <f>IF(ISBLANK(Table25[[#This Row],[Roster Received By]]),1,0)</f>
        <v>1</v>
      </c>
      <c r="AA122" s="14">
        <f ca="1">IF(Table25[[#This Row],[Start Date]]&gt;TODAY(),1,)</f>
        <v>0</v>
      </c>
    </row>
    <row r="123" spans="1:27" s="93" customFormat="1" ht="14.25" hidden="1" customHeight="1" x14ac:dyDescent="0.25">
      <c r="A123" s="52"/>
      <c r="B123" s="86"/>
      <c r="C123" s="87" t="e">
        <v>#N/A</v>
      </c>
      <c r="D123" s="87" t="e">
        <v>#N/A</v>
      </c>
      <c r="E123" s="86"/>
      <c r="F123" s="89"/>
      <c r="G123" s="89"/>
      <c r="H123" s="92"/>
      <c r="I123" s="92"/>
      <c r="J123" s="89"/>
      <c r="K123" s="89"/>
      <c r="L123" s="89"/>
      <c r="M123" s="89"/>
      <c r="N123" s="89"/>
      <c r="O123" s="86"/>
      <c r="P123" s="86"/>
      <c r="Q123" s="14" t="e">
        <v>#N/A</v>
      </c>
      <c r="R123" s="14" t="e">
        <v>#N/A</v>
      </c>
      <c r="S123" s="14"/>
      <c r="T123" s="90"/>
      <c r="U123" s="14"/>
      <c r="V123" s="14"/>
      <c r="W123" s="14"/>
      <c r="X123" s="86"/>
      <c r="Y123" s="59">
        <f ca="1">Table25[[#This Row],[End Date]]+2-TODAY()</f>
        <v>-45816</v>
      </c>
      <c r="Z123" s="14">
        <f>IF(ISBLANK(Table25[[#This Row],[Roster Received By]]),1,0)</f>
        <v>1</v>
      </c>
      <c r="AA123" s="14">
        <f ca="1">IF(Table25[[#This Row],[Start Date]]&gt;TODAY(),1,)</f>
        <v>0</v>
      </c>
    </row>
    <row r="124" spans="1:27" s="93" customFormat="1" ht="14.25" hidden="1" customHeight="1" x14ac:dyDescent="0.25">
      <c r="A124" s="52"/>
      <c r="B124" s="86"/>
      <c r="C124" s="87" t="e">
        <v>#N/A</v>
      </c>
      <c r="D124" s="87" t="e">
        <v>#N/A</v>
      </c>
      <c r="E124" s="86"/>
      <c r="F124" s="89"/>
      <c r="G124" s="89"/>
      <c r="H124" s="89"/>
      <c r="I124" s="88"/>
      <c r="J124" s="88"/>
      <c r="K124" s="88"/>
      <c r="L124" s="88"/>
      <c r="M124" s="88"/>
      <c r="N124" s="88"/>
      <c r="O124" s="86"/>
      <c r="P124" s="86"/>
      <c r="Q124" s="14" t="e">
        <v>#N/A</v>
      </c>
      <c r="R124" s="14" t="e">
        <v>#N/A</v>
      </c>
      <c r="S124" s="14"/>
      <c r="T124" s="90"/>
      <c r="U124" s="14"/>
      <c r="V124" s="14"/>
      <c r="W124" s="14"/>
      <c r="X124" s="86"/>
      <c r="Y124" s="59">
        <f ca="1">Table25[[#This Row],[End Date]]+2-TODAY()</f>
        <v>-45816</v>
      </c>
      <c r="Z124" s="14">
        <f>IF(ISBLANK(Table25[[#This Row],[Roster Received By]]),1,0)</f>
        <v>1</v>
      </c>
      <c r="AA124" s="14">
        <f ca="1">IF(Table25[[#This Row],[Start Date]]&gt;TODAY(),1,)</f>
        <v>0</v>
      </c>
    </row>
    <row r="125" spans="1:27" s="93" customFormat="1" ht="14.25" hidden="1" customHeight="1" x14ac:dyDescent="0.25">
      <c r="A125" s="52"/>
      <c r="B125" s="86"/>
      <c r="C125" s="87" t="e">
        <v>#N/A</v>
      </c>
      <c r="D125" s="87" t="e">
        <v>#N/A</v>
      </c>
      <c r="E125" s="86"/>
      <c r="F125" s="89"/>
      <c r="G125" s="89"/>
      <c r="H125" s="89"/>
      <c r="I125" s="88"/>
      <c r="J125" s="88"/>
      <c r="K125" s="88"/>
      <c r="L125" s="88"/>
      <c r="M125" s="88"/>
      <c r="N125" s="88"/>
      <c r="O125" s="86"/>
      <c r="P125" s="86"/>
      <c r="Q125" s="14" t="e">
        <v>#N/A</v>
      </c>
      <c r="R125" s="14" t="e">
        <v>#N/A</v>
      </c>
      <c r="S125" s="14"/>
      <c r="T125" s="90"/>
      <c r="U125" s="14"/>
      <c r="V125" s="14"/>
      <c r="W125" s="14"/>
      <c r="X125" s="86"/>
      <c r="Y125" s="59">
        <f ca="1">Table25[[#This Row],[End Date]]+2-TODAY()</f>
        <v>-45816</v>
      </c>
      <c r="Z125" s="14">
        <f>IF(ISBLANK(Table25[[#This Row],[Roster Received By]]),1,0)</f>
        <v>1</v>
      </c>
      <c r="AA125" s="14">
        <f ca="1">IF(Table25[[#This Row],[Start Date]]&gt;TODAY(),1,)</f>
        <v>0</v>
      </c>
    </row>
    <row r="126" spans="1:27" s="93" customFormat="1" ht="14.25" hidden="1" customHeight="1" x14ac:dyDescent="0.25">
      <c r="A126" s="52"/>
      <c r="B126" s="86"/>
      <c r="C126" s="87" t="e">
        <v>#N/A</v>
      </c>
      <c r="D126" s="87" t="e">
        <v>#N/A</v>
      </c>
      <c r="E126" s="86"/>
      <c r="F126" s="89"/>
      <c r="G126" s="89"/>
      <c r="H126" s="92"/>
      <c r="I126" s="92"/>
      <c r="J126" s="89"/>
      <c r="K126" s="89"/>
      <c r="L126" s="89"/>
      <c r="M126" s="89"/>
      <c r="N126" s="89"/>
      <c r="O126" s="86"/>
      <c r="P126" s="86"/>
      <c r="Q126" s="14" t="e">
        <v>#N/A</v>
      </c>
      <c r="R126" s="14" t="e">
        <v>#N/A</v>
      </c>
      <c r="S126" s="14"/>
      <c r="T126" s="90"/>
      <c r="U126" s="14"/>
      <c r="V126" s="14"/>
      <c r="W126" s="14"/>
      <c r="X126" s="86"/>
      <c r="Y126" s="59">
        <f ca="1">Table25[[#This Row],[End Date]]+2-TODAY()</f>
        <v>-45816</v>
      </c>
      <c r="Z126" s="14">
        <f>IF(ISBLANK(Table25[[#This Row],[Roster Received By]]),1,0)</f>
        <v>1</v>
      </c>
      <c r="AA126" s="14">
        <f ca="1">IF(Table25[[#This Row],[Start Date]]&gt;TODAY(),1,)</f>
        <v>0</v>
      </c>
    </row>
    <row r="127" spans="1:27" s="93" customFormat="1" ht="14.25" hidden="1" customHeight="1" x14ac:dyDescent="0.25">
      <c r="A127" s="52"/>
      <c r="B127" s="86"/>
      <c r="C127" s="87" t="e">
        <v>#N/A</v>
      </c>
      <c r="D127" s="87" t="e">
        <v>#N/A</v>
      </c>
      <c r="E127" s="86"/>
      <c r="F127" s="89"/>
      <c r="G127" s="89"/>
      <c r="H127" s="89"/>
      <c r="I127" s="88"/>
      <c r="J127" s="88"/>
      <c r="K127" s="88"/>
      <c r="L127" s="88"/>
      <c r="M127" s="88"/>
      <c r="N127" s="88"/>
      <c r="O127" s="86"/>
      <c r="P127" s="86"/>
      <c r="Q127" s="14" t="e">
        <v>#N/A</v>
      </c>
      <c r="R127" s="14" t="e">
        <v>#N/A</v>
      </c>
      <c r="S127" s="14"/>
      <c r="T127" s="90"/>
      <c r="U127" s="14"/>
      <c r="V127" s="14"/>
      <c r="W127" s="14"/>
      <c r="X127" s="86"/>
      <c r="Y127" s="59">
        <f ca="1">Table25[[#This Row],[End Date]]+2-TODAY()</f>
        <v>-45816</v>
      </c>
      <c r="Z127" s="14">
        <f>IF(ISBLANK(Table25[[#This Row],[Roster Received By]]),1,0)</f>
        <v>1</v>
      </c>
      <c r="AA127" s="14">
        <f ca="1">IF(Table25[[#This Row],[Start Date]]&gt;TODAY(),1,)</f>
        <v>0</v>
      </c>
    </row>
    <row r="128" spans="1:27" s="93" customFormat="1" ht="14.25" hidden="1" customHeight="1" x14ac:dyDescent="0.25">
      <c r="A128" s="86"/>
      <c r="B128" s="86"/>
      <c r="C128" s="87" t="e">
        <v>#N/A</v>
      </c>
      <c r="D128" s="87" t="e">
        <v>#N/A</v>
      </c>
      <c r="E128" s="86"/>
      <c r="F128" s="89"/>
      <c r="G128" s="89"/>
      <c r="H128" s="92"/>
      <c r="I128" s="92"/>
      <c r="J128" s="89"/>
      <c r="K128" s="89"/>
      <c r="L128" s="89"/>
      <c r="M128" s="89"/>
      <c r="N128" s="89"/>
      <c r="O128" s="86"/>
      <c r="P128" s="86"/>
      <c r="Q128" s="14" t="e">
        <v>#N/A</v>
      </c>
      <c r="R128" s="14" t="e">
        <v>#N/A</v>
      </c>
      <c r="S128" s="14"/>
      <c r="T128" s="90"/>
      <c r="U128" s="14"/>
      <c r="V128" s="14"/>
      <c r="W128" s="14"/>
      <c r="X128" s="86"/>
      <c r="Y128" s="59">
        <f ca="1">Table25[[#This Row],[End Date]]+2-TODAY()</f>
        <v>-45816</v>
      </c>
      <c r="Z128" s="14">
        <f>IF(ISBLANK(Table25[[#This Row],[Roster Received By]]),1,0)</f>
        <v>1</v>
      </c>
      <c r="AA128" s="14">
        <f ca="1">IF(Table25[[#This Row],[Start Date]]&gt;TODAY(),1,)</f>
        <v>0</v>
      </c>
    </row>
    <row r="129" spans="1:27" s="122" customFormat="1" hidden="1" x14ac:dyDescent="0.25">
      <c r="A129" s="52"/>
      <c r="B129" s="86"/>
      <c r="C129" s="87" t="e">
        <v>#N/A</v>
      </c>
      <c r="D129" s="87" t="e">
        <v>#N/A</v>
      </c>
      <c r="E129" s="86"/>
      <c r="F129" s="89"/>
      <c r="G129" s="89"/>
      <c r="H129" s="92"/>
      <c r="I129" s="92"/>
      <c r="J129" s="89"/>
      <c r="K129" s="89"/>
      <c r="L129" s="89"/>
      <c r="M129" s="89"/>
      <c r="N129" s="89"/>
      <c r="O129" s="86"/>
      <c r="P129" s="86"/>
      <c r="Q129" s="14" t="e">
        <v>#N/A</v>
      </c>
      <c r="R129" s="14" t="e">
        <v>#N/A</v>
      </c>
      <c r="S129" s="14"/>
      <c r="T129" s="90"/>
      <c r="U129" s="14"/>
      <c r="V129" s="14"/>
      <c r="W129" s="14"/>
      <c r="X129" s="86"/>
      <c r="Y129" s="59">
        <f ca="1">Table25[[#This Row],[End Date]]+2-TODAY()</f>
        <v>-45816</v>
      </c>
      <c r="Z129" s="14">
        <f>IF(ISBLANK(Table25[[#This Row],[Roster Received By]]),1,0)</f>
        <v>1</v>
      </c>
      <c r="AA129" s="14">
        <f ca="1">IF(Table25[[#This Row],[Start Date]]&gt;TODAY(),1,)</f>
        <v>0</v>
      </c>
    </row>
    <row r="130" spans="1:27" s="93" customFormat="1" ht="14.25" hidden="1" customHeight="1" x14ac:dyDescent="0.25">
      <c r="A130" s="52"/>
      <c r="B130" s="86"/>
      <c r="C130" s="87" t="e">
        <v>#N/A</v>
      </c>
      <c r="D130" s="87" t="e">
        <v>#N/A</v>
      </c>
      <c r="E130" s="86"/>
      <c r="F130" s="89"/>
      <c r="G130" s="89"/>
      <c r="H130" s="89"/>
      <c r="I130" s="88"/>
      <c r="J130" s="88"/>
      <c r="K130" s="88"/>
      <c r="L130" s="88"/>
      <c r="M130" s="88"/>
      <c r="N130" s="88"/>
      <c r="O130" s="86"/>
      <c r="P130" s="86"/>
      <c r="Q130" s="14" t="e">
        <v>#N/A</v>
      </c>
      <c r="R130" s="14" t="e">
        <v>#N/A</v>
      </c>
      <c r="S130" s="14"/>
      <c r="T130" s="90"/>
      <c r="U130" s="14"/>
      <c r="V130" s="14"/>
      <c r="W130" s="14"/>
      <c r="X130" s="86"/>
      <c r="Y130" s="59">
        <f ca="1">Table25[[#This Row],[End Date]]+2-TODAY()</f>
        <v>-45816</v>
      </c>
      <c r="Z130" s="14">
        <f>IF(ISBLANK(Table25[[#This Row],[Roster Received By]]),1,0)</f>
        <v>1</v>
      </c>
      <c r="AA130" s="14">
        <f ca="1">IF(Table25[[#This Row],[Start Date]]&gt;TODAY(),1,)</f>
        <v>0</v>
      </c>
    </row>
    <row r="131" spans="1:27" s="93" customFormat="1" ht="14.25" hidden="1" customHeight="1" x14ac:dyDescent="0.25">
      <c r="A131" s="52"/>
      <c r="B131" s="86"/>
      <c r="C131" s="87" t="e">
        <v>#N/A</v>
      </c>
      <c r="D131" s="87" t="e">
        <v>#N/A</v>
      </c>
      <c r="E131" s="86"/>
      <c r="F131" s="89"/>
      <c r="G131" s="89"/>
      <c r="H131" s="92"/>
      <c r="I131" s="92"/>
      <c r="J131" s="89"/>
      <c r="K131" s="89"/>
      <c r="L131" s="89"/>
      <c r="M131" s="89"/>
      <c r="N131" s="89"/>
      <c r="O131" s="86"/>
      <c r="P131" s="86"/>
      <c r="Q131" s="14" t="e">
        <v>#N/A</v>
      </c>
      <c r="R131" s="14" t="e">
        <v>#N/A</v>
      </c>
      <c r="S131" s="14"/>
      <c r="T131" s="90"/>
      <c r="U131" s="14"/>
      <c r="V131" s="14"/>
      <c r="W131" s="94"/>
      <c r="X131" s="86"/>
      <c r="Y131" s="59">
        <f ca="1">Table25[[#This Row],[End Date]]+2-TODAY()</f>
        <v>-45816</v>
      </c>
      <c r="Z131" s="14">
        <f>IF(ISBLANK(Table25[[#This Row],[Roster Received By]]),1,0)</f>
        <v>1</v>
      </c>
      <c r="AA131" s="14">
        <f ca="1">IF(Table25[[#This Row],[Start Date]]&gt;TODAY(),1,)</f>
        <v>0</v>
      </c>
    </row>
    <row r="132" spans="1:27" s="93" customFormat="1" ht="14.25" hidden="1" customHeight="1" x14ac:dyDescent="0.25">
      <c r="A132" s="52"/>
      <c r="B132" s="86"/>
      <c r="C132" s="87" t="e">
        <v>#N/A</v>
      </c>
      <c r="D132" s="87" t="e">
        <v>#N/A</v>
      </c>
      <c r="E132" s="86"/>
      <c r="F132" s="89"/>
      <c r="G132" s="89"/>
      <c r="H132" s="89"/>
      <c r="I132" s="88"/>
      <c r="J132" s="88"/>
      <c r="K132" s="88"/>
      <c r="L132" s="88"/>
      <c r="M132" s="88"/>
      <c r="N132" s="88"/>
      <c r="O132" s="86"/>
      <c r="P132" s="86"/>
      <c r="Q132" s="14" t="e">
        <v>#N/A</v>
      </c>
      <c r="R132" s="14" t="e">
        <v>#N/A</v>
      </c>
      <c r="S132" s="14"/>
      <c r="T132" s="90"/>
      <c r="U132" s="14"/>
      <c r="V132" s="14"/>
      <c r="W132" s="14"/>
      <c r="X132" s="86"/>
      <c r="Y132" s="59">
        <f ca="1">Table25[[#This Row],[End Date]]+2-TODAY()</f>
        <v>-45816</v>
      </c>
      <c r="Z132" s="14">
        <f>IF(ISBLANK(Table25[[#This Row],[Roster Received By]]),1,0)</f>
        <v>1</v>
      </c>
      <c r="AA132" s="14">
        <f ca="1">IF(Table25[[#This Row],[Start Date]]&gt;TODAY(),1,)</f>
        <v>0</v>
      </c>
    </row>
    <row r="133" spans="1:27" s="93" customFormat="1" ht="14.25" hidden="1" customHeight="1" x14ac:dyDescent="0.25">
      <c r="A133" s="52"/>
      <c r="B133" s="86"/>
      <c r="C133" s="87" t="e">
        <v>#N/A</v>
      </c>
      <c r="D133" s="87" t="e">
        <v>#N/A</v>
      </c>
      <c r="E133" s="86"/>
      <c r="F133" s="89"/>
      <c r="G133" s="89"/>
      <c r="H133" s="89"/>
      <c r="I133" s="88"/>
      <c r="J133" s="88"/>
      <c r="K133" s="88"/>
      <c r="L133" s="88"/>
      <c r="M133" s="88"/>
      <c r="N133" s="88"/>
      <c r="O133" s="86"/>
      <c r="P133" s="86"/>
      <c r="Q133" s="14" t="e">
        <v>#N/A</v>
      </c>
      <c r="R133" s="14" t="e">
        <v>#N/A</v>
      </c>
      <c r="S133" s="14"/>
      <c r="T133" s="90"/>
      <c r="U133" s="14"/>
      <c r="V133" s="14"/>
      <c r="W133" s="14"/>
      <c r="X133" s="86"/>
      <c r="Y133" s="59">
        <f ca="1">Table25[[#This Row],[End Date]]+2-TODAY()</f>
        <v>-45816</v>
      </c>
      <c r="Z133" s="14">
        <f>IF(ISBLANK(Table25[[#This Row],[Roster Received By]]),1,0)</f>
        <v>1</v>
      </c>
      <c r="AA133" s="14">
        <f ca="1">IF(Table25[[#This Row],[Start Date]]&gt;TODAY(),1,)</f>
        <v>0</v>
      </c>
    </row>
    <row r="134" spans="1:27" s="93" customFormat="1" ht="14.25" hidden="1" customHeight="1" x14ac:dyDescent="0.25">
      <c r="A134" s="52"/>
      <c r="B134" s="86"/>
      <c r="C134" s="87" t="e">
        <v>#N/A</v>
      </c>
      <c r="D134" s="87" t="e">
        <v>#N/A</v>
      </c>
      <c r="E134" s="86"/>
      <c r="F134" s="89"/>
      <c r="G134" s="89"/>
      <c r="H134" s="89"/>
      <c r="I134" s="88"/>
      <c r="J134" s="88"/>
      <c r="K134" s="88"/>
      <c r="L134" s="88"/>
      <c r="M134" s="88"/>
      <c r="N134" s="88"/>
      <c r="O134" s="86"/>
      <c r="P134" s="86"/>
      <c r="Q134" s="14" t="e">
        <v>#N/A</v>
      </c>
      <c r="R134" s="14" t="e">
        <v>#N/A</v>
      </c>
      <c r="S134" s="14"/>
      <c r="T134" s="90"/>
      <c r="U134" s="14"/>
      <c r="V134" s="14"/>
      <c r="W134" s="87"/>
      <c r="X134" s="86"/>
      <c r="Y134" s="59">
        <f ca="1">Table25[[#This Row],[End Date]]+2-TODAY()</f>
        <v>-45816</v>
      </c>
      <c r="Z134" s="14">
        <f>IF(ISBLANK(Table25[[#This Row],[Roster Received By]]),1,0)</f>
        <v>1</v>
      </c>
      <c r="AA134" s="14">
        <f ca="1">IF(Table25[[#This Row],[Start Date]]&gt;TODAY(),1,)</f>
        <v>0</v>
      </c>
    </row>
    <row r="135" spans="1:27" s="93" customFormat="1" ht="14.25" hidden="1" customHeight="1" x14ac:dyDescent="0.25">
      <c r="A135" s="86"/>
      <c r="B135" s="86"/>
      <c r="C135" s="87" t="e">
        <v>#N/A</v>
      </c>
      <c r="D135" s="87" t="e">
        <v>#N/A</v>
      </c>
      <c r="E135" s="86"/>
      <c r="F135" s="89"/>
      <c r="G135" s="89"/>
      <c r="H135" s="95"/>
      <c r="I135" s="95"/>
      <c r="J135" s="89"/>
      <c r="K135" s="89"/>
      <c r="L135" s="89"/>
      <c r="M135" s="89"/>
      <c r="N135" s="89"/>
      <c r="O135" s="86"/>
      <c r="P135" s="86"/>
      <c r="Q135" s="14" t="e">
        <v>#N/A</v>
      </c>
      <c r="R135" s="14" t="e">
        <v>#N/A</v>
      </c>
      <c r="S135" s="14"/>
      <c r="T135" s="90"/>
      <c r="U135" s="14"/>
      <c r="V135" s="14"/>
      <c r="W135" s="87"/>
      <c r="X135" s="86"/>
      <c r="Y135" s="59">
        <f ca="1">Table25[[#This Row],[End Date]]+2-TODAY()</f>
        <v>-45816</v>
      </c>
      <c r="Z135" s="14">
        <f>IF(ISBLANK(Table25[[#This Row],[Roster Received By]]),1,0)</f>
        <v>1</v>
      </c>
      <c r="AA135" s="14">
        <f ca="1">IF(Table25[[#This Row],[Start Date]]&gt;TODAY(),1,)</f>
        <v>0</v>
      </c>
    </row>
    <row r="136" spans="1:27" s="93" customFormat="1" ht="14.25" hidden="1" customHeight="1" x14ac:dyDescent="0.25">
      <c r="A136" s="52"/>
      <c r="B136" s="86"/>
      <c r="C136" s="87" t="e">
        <v>#N/A</v>
      </c>
      <c r="D136" s="87" t="e">
        <v>#N/A</v>
      </c>
      <c r="E136" s="86"/>
      <c r="F136" s="89"/>
      <c r="G136" s="89"/>
      <c r="H136" s="89"/>
      <c r="I136" s="88"/>
      <c r="J136" s="88"/>
      <c r="K136" s="88"/>
      <c r="L136" s="88"/>
      <c r="M136" s="88"/>
      <c r="N136" s="88"/>
      <c r="O136" s="86"/>
      <c r="P136" s="86"/>
      <c r="Q136" s="14" t="e">
        <v>#N/A</v>
      </c>
      <c r="R136" s="14" t="e">
        <v>#N/A</v>
      </c>
      <c r="S136" s="14"/>
      <c r="T136" s="90"/>
      <c r="U136" s="14"/>
      <c r="V136" s="14"/>
      <c r="W136" s="14"/>
      <c r="X136" s="86"/>
      <c r="Y136" s="59">
        <f ca="1">Table25[[#This Row],[End Date]]+2-TODAY()</f>
        <v>-45816</v>
      </c>
      <c r="Z136" s="14">
        <f>IF(ISBLANK(Table25[[#This Row],[Roster Received By]]),1,0)</f>
        <v>1</v>
      </c>
      <c r="AA136" s="14">
        <f ca="1">IF(Table25[[#This Row],[Start Date]]&gt;TODAY(),1,)</f>
        <v>0</v>
      </c>
    </row>
    <row r="137" spans="1:27" s="52" customFormat="1" hidden="1" x14ac:dyDescent="0.25">
      <c r="B137" s="86"/>
      <c r="C137" s="87" t="e">
        <v>#N/A</v>
      </c>
      <c r="D137" s="87" t="e">
        <v>#N/A</v>
      </c>
      <c r="E137" s="86"/>
      <c r="F137" s="89"/>
      <c r="G137" s="89"/>
      <c r="H137" s="89"/>
      <c r="I137" s="88"/>
      <c r="J137" s="88"/>
      <c r="K137" s="88"/>
      <c r="L137" s="88"/>
      <c r="M137" s="88"/>
      <c r="N137" s="88"/>
      <c r="O137" s="86"/>
      <c r="P137" s="86"/>
      <c r="Q137" s="14" t="e">
        <v>#N/A</v>
      </c>
      <c r="R137" s="14" t="e">
        <v>#N/A</v>
      </c>
      <c r="S137" s="14"/>
      <c r="T137" s="90"/>
      <c r="U137" s="14"/>
      <c r="V137" s="14"/>
      <c r="W137" s="90"/>
      <c r="X137" s="86"/>
      <c r="Y137" s="59">
        <f ca="1">Table25[[#This Row],[End Date]]+2-TODAY()</f>
        <v>-45816</v>
      </c>
      <c r="Z137" s="14">
        <f>IF(ISBLANK(Table25[[#This Row],[Roster Received By]]),1,0)</f>
        <v>1</v>
      </c>
      <c r="AA137" s="14">
        <f ca="1">IF(Table25[[#This Row],[Start Date]]&gt;TODAY(),1,)</f>
        <v>0</v>
      </c>
    </row>
    <row r="138" spans="1:27" s="122" customFormat="1" ht="14.25" hidden="1" customHeight="1" x14ac:dyDescent="0.25">
      <c r="A138" s="52"/>
      <c r="B138" s="86"/>
      <c r="C138" s="87" t="e">
        <v>#N/A</v>
      </c>
      <c r="D138" s="87" t="e">
        <v>#N/A</v>
      </c>
      <c r="E138" s="86"/>
      <c r="F138" s="89"/>
      <c r="G138" s="89"/>
      <c r="H138" s="89"/>
      <c r="I138" s="88"/>
      <c r="J138" s="88"/>
      <c r="K138" s="88"/>
      <c r="L138" s="88"/>
      <c r="M138" s="88"/>
      <c r="N138" s="88"/>
      <c r="O138" s="86"/>
      <c r="P138" s="86"/>
      <c r="Q138" s="14" t="e">
        <v>#N/A</v>
      </c>
      <c r="R138" s="14" t="e">
        <v>#N/A</v>
      </c>
      <c r="S138" s="14"/>
      <c r="T138" s="90"/>
      <c r="U138" s="14"/>
      <c r="V138" s="14"/>
      <c r="W138" s="14"/>
      <c r="X138" s="86"/>
      <c r="Y138" s="59">
        <f ca="1">Table25[[#This Row],[End Date]]+2-TODAY()</f>
        <v>-45816</v>
      </c>
      <c r="Z138" s="14">
        <f>IF(ISBLANK(Table25[[#This Row],[Roster Received By]]),1,0)</f>
        <v>1</v>
      </c>
      <c r="AA138" s="14">
        <f ca="1">IF(Table25[[#This Row],[Start Date]]&gt;TODAY(),1,)</f>
        <v>0</v>
      </c>
    </row>
    <row r="139" spans="1:27" s="122" customFormat="1" ht="14.25" hidden="1" customHeight="1" x14ac:dyDescent="0.25">
      <c r="A139" s="52"/>
      <c r="B139" s="86"/>
      <c r="C139" s="87" t="e">
        <v>#N/A</v>
      </c>
      <c r="D139" s="87" t="e">
        <v>#N/A</v>
      </c>
      <c r="E139" s="86"/>
      <c r="F139" s="89"/>
      <c r="G139" s="89"/>
      <c r="H139" s="92"/>
      <c r="I139" s="92"/>
      <c r="J139" s="89"/>
      <c r="K139" s="89"/>
      <c r="L139" s="89"/>
      <c r="M139" s="89"/>
      <c r="N139" s="89"/>
      <c r="O139" s="86"/>
      <c r="P139" s="86"/>
      <c r="Q139" s="14" t="e">
        <v>#N/A</v>
      </c>
      <c r="R139" s="14" t="e">
        <v>#N/A</v>
      </c>
      <c r="S139" s="14"/>
      <c r="T139" s="90"/>
      <c r="U139" s="14"/>
      <c r="V139" s="14"/>
      <c r="W139" s="87"/>
      <c r="X139" s="86"/>
      <c r="Y139" s="59">
        <f ca="1">Table25[[#This Row],[End Date]]+2-TODAY()</f>
        <v>-45816</v>
      </c>
      <c r="Z139" s="14">
        <f>IF(ISBLANK(Table25[[#This Row],[Roster Received By]]),1,0)</f>
        <v>1</v>
      </c>
      <c r="AA139" s="14">
        <f ca="1">IF(Table25[[#This Row],[Start Date]]&gt;TODAY(),1,)</f>
        <v>0</v>
      </c>
    </row>
    <row r="140" spans="1:27" s="122" customFormat="1" ht="16.5" hidden="1" customHeight="1" x14ac:dyDescent="0.25">
      <c r="A140" s="52"/>
      <c r="B140" s="86"/>
      <c r="C140" s="87" t="e">
        <v>#N/A</v>
      </c>
      <c r="D140" s="87" t="e">
        <v>#N/A</v>
      </c>
      <c r="E140" s="86"/>
      <c r="F140" s="89"/>
      <c r="G140" s="89"/>
      <c r="H140" s="89"/>
      <c r="I140" s="88"/>
      <c r="J140" s="88"/>
      <c r="K140" s="88"/>
      <c r="L140" s="88"/>
      <c r="M140" s="88"/>
      <c r="N140" s="88"/>
      <c r="O140" s="86"/>
      <c r="P140" s="86"/>
      <c r="Q140" s="14" t="e">
        <v>#N/A</v>
      </c>
      <c r="R140" s="14" t="e">
        <v>#N/A</v>
      </c>
      <c r="S140" s="14"/>
      <c r="T140" s="90"/>
      <c r="U140" s="14"/>
      <c r="V140" s="14"/>
      <c r="W140" s="14"/>
      <c r="X140" s="86"/>
      <c r="Y140" s="59">
        <f ca="1">Table25[[#This Row],[End Date]]+2-TODAY()</f>
        <v>-45816</v>
      </c>
      <c r="Z140" s="14">
        <f>IF(ISBLANK(Table25[[#This Row],[Roster Received By]]),1,0)</f>
        <v>1</v>
      </c>
      <c r="AA140" s="14">
        <f ca="1">IF(Table25[[#This Row],[Start Date]]&gt;TODAY(),1,)</f>
        <v>0</v>
      </c>
    </row>
    <row r="141" spans="1:27" s="93" customFormat="1" ht="16.5" hidden="1" customHeight="1" x14ac:dyDescent="0.25">
      <c r="A141" s="52"/>
      <c r="B141" s="86"/>
      <c r="C141" s="87" t="e">
        <v>#N/A</v>
      </c>
      <c r="D141" s="87" t="e">
        <v>#N/A</v>
      </c>
      <c r="E141" s="86"/>
      <c r="F141" s="56"/>
      <c r="G141" s="89"/>
      <c r="H141" s="89"/>
      <c r="I141" s="88"/>
      <c r="J141" s="88"/>
      <c r="K141" s="88"/>
      <c r="L141" s="88"/>
      <c r="M141" s="88"/>
      <c r="N141" s="88"/>
      <c r="O141" s="86"/>
      <c r="P141" s="86"/>
      <c r="Q141" s="14" t="e">
        <v>#N/A</v>
      </c>
      <c r="R141" s="14" t="e">
        <v>#N/A</v>
      </c>
      <c r="S141" s="14"/>
      <c r="T141" s="90"/>
      <c r="U141" s="14"/>
      <c r="V141" s="14"/>
      <c r="W141" s="14"/>
      <c r="X141" s="86"/>
      <c r="Y141" s="59">
        <f ca="1">Table25[[#This Row],[End Date]]+2-TODAY()</f>
        <v>-45816</v>
      </c>
      <c r="Z141" s="14">
        <f>IF(ISBLANK(Table25[[#This Row],[Roster Received By]]),1,0)</f>
        <v>1</v>
      </c>
      <c r="AA141" s="14">
        <f ca="1">IF(Table25[[#This Row],[Start Date]]&gt;TODAY(),1,)</f>
        <v>0</v>
      </c>
    </row>
    <row r="142" spans="1:27" s="93" customFormat="1" ht="16.5" hidden="1" customHeight="1" x14ac:dyDescent="0.25">
      <c r="A142" s="86"/>
      <c r="B142" s="86"/>
      <c r="C142" s="87" t="e">
        <v>#N/A</v>
      </c>
      <c r="D142" s="87" t="e">
        <v>#N/A</v>
      </c>
      <c r="E142" s="54"/>
      <c r="F142" s="89"/>
      <c r="G142" s="89"/>
      <c r="H142" s="92"/>
      <c r="I142" s="92"/>
      <c r="J142" s="89"/>
      <c r="K142" s="89"/>
      <c r="L142" s="89"/>
      <c r="M142" s="89"/>
      <c r="N142" s="89"/>
      <c r="O142" s="86"/>
      <c r="P142" s="86"/>
      <c r="Q142" s="14" t="e">
        <v>#N/A</v>
      </c>
      <c r="R142" s="14" t="e">
        <v>#N/A</v>
      </c>
      <c r="S142" s="14"/>
      <c r="T142" s="90"/>
      <c r="U142" s="14"/>
      <c r="V142" s="14"/>
      <c r="W142" s="14"/>
      <c r="X142" s="86"/>
      <c r="Y142" s="59">
        <f ca="1">Table25[[#This Row],[End Date]]+2-TODAY()</f>
        <v>-45816</v>
      </c>
      <c r="Z142" s="14">
        <f>IF(ISBLANK(Table25[[#This Row],[Roster Received By]]),1,0)</f>
        <v>1</v>
      </c>
      <c r="AA142" s="14">
        <f ca="1">IF(Table25[[#This Row],[Start Date]]&gt;TODAY(),1,)</f>
        <v>0</v>
      </c>
    </row>
    <row r="143" spans="1:27" s="93" customFormat="1" ht="14.25" hidden="1" customHeight="1" x14ac:dyDescent="0.25">
      <c r="A143" s="52"/>
      <c r="B143" s="86"/>
      <c r="C143" s="87" t="e">
        <v>#N/A</v>
      </c>
      <c r="D143" s="87" t="e">
        <v>#N/A</v>
      </c>
      <c r="E143" s="86"/>
      <c r="F143" s="89"/>
      <c r="G143" s="89"/>
      <c r="H143" s="89"/>
      <c r="I143" s="88"/>
      <c r="J143" s="88"/>
      <c r="K143" s="88"/>
      <c r="L143" s="88"/>
      <c r="M143" s="88"/>
      <c r="N143" s="88"/>
      <c r="O143" s="86"/>
      <c r="P143" s="86"/>
      <c r="Q143" s="14" t="e">
        <v>#N/A</v>
      </c>
      <c r="R143" s="14" t="e">
        <v>#N/A</v>
      </c>
      <c r="S143" s="14"/>
      <c r="T143" s="90"/>
      <c r="U143" s="14"/>
      <c r="V143" s="14"/>
      <c r="W143" s="14"/>
      <c r="X143" s="86"/>
      <c r="Y143" s="59">
        <f ca="1">Table25[[#This Row],[End Date]]+2-TODAY()</f>
        <v>-45816</v>
      </c>
      <c r="Z143" s="14">
        <f>IF(ISBLANK(Table25[[#This Row],[Roster Received By]]),1,0)</f>
        <v>1</v>
      </c>
      <c r="AA143" s="14">
        <f ca="1">IF(Table25[[#This Row],[Start Date]]&gt;TODAY(),1,)</f>
        <v>0</v>
      </c>
    </row>
    <row r="144" spans="1:27" s="93" customFormat="1" ht="14.25" hidden="1" customHeight="1" x14ac:dyDescent="0.25">
      <c r="A144" s="52"/>
      <c r="B144" s="86"/>
      <c r="C144" s="87" t="e">
        <v>#N/A</v>
      </c>
      <c r="D144" s="87" t="e">
        <v>#N/A</v>
      </c>
      <c r="E144" s="86"/>
      <c r="F144" s="89"/>
      <c r="G144" s="89"/>
      <c r="H144" s="89"/>
      <c r="I144" s="88"/>
      <c r="J144" s="88"/>
      <c r="K144" s="88"/>
      <c r="L144" s="88"/>
      <c r="M144" s="88"/>
      <c r="N144" s="88"/>
      <c r="O144" s="86"/>
      <c r="P144" s="86"/>
      <c r="Q144" s="14" t="e">
        <v>#N/A</v>
      </c>
      <c r="R144" s="14" t="e">
        <v>#N/A</v>
      </c>
      <c r="S144" s="14"/>
      <c r="T144" s="90"/>
      <c r="U144" s="14"/>
      <c r="V144" s="14"/>
      <c r="W144" s="14"/>
      <c r="X144" s="86"/>
      <c r="Y144" s="59">
        <f ca="1">Table25[[#This Row],[End Date]]+2-TODAY()</f>
        <v>-45816</v>
      </c>
      <c r="Z144" s="14">
        <f>IF(ISBLANK(Table25[[#This Row],[Roster Received By]]),1,0)</f>
        <v>1</v>
      </c>
      <c r="AA144" s="14">
        <f ca="1">IF(Table25[[#This Row],[Start Date]]&gt;TODAY(),1,)</f>
        <v>0</v>
      </c>
    </row>
    <row r="145" spans="1:27" s="93" customFormat="1" ht="14.25" hidden="1" customHeight="1" x14ac:dyDescent="0.25">
      <c r="A145" s="52"/>
      <c r="B145" s="86"/>
      <c r="C145" s="87" t="e">
        <v>#N/A</v>
      </c>
      <c r="D145" s="87" t="e">
        <v>#N/A</v>
      </c>
      <c r="E145" s="86"/>
      <c r="F145" s="89"/>
      <c r="G145" s="89"/>
      <c r="H145" s="92"/>
      <c r="I145" s="92"/>
      <c r="J145" s="89"/>
      <c r="K145" s="89"/>
      <c r="L145" s="89"/>
      <c r="M145" s="89"/>
      <c r="N145" s="89"/>
      <c r="O145" s="86"/>
      <c r="P145" s="86"/>
      <c r="Q145" s="14" t="e">
        <v>#N/A</v>
      </c>
      <c r="R145" s="14" t="e">
        <v>#N/A</v>
      </c>
      <c r="S145" s="14"/>
      <c r="T145" s="90"/>
      <c r="U145" s="14"/>
      <c r="V145" s="14"/>
      <c r="W145" s="14"/>
      <c r="X145" s="86"/>
      <c r="Y145" s="59">
        <f ca="1">Table25[[#This Row],[End Date]]+2-TODAY()</f>
        <v>-45816</v>
      </c>
      <c r="Z145" s="14">
        <f>IF(ISBLANK(Table25[[#This Row],[Roster Received By]]),1,0)</f>
        <v>1</v>
      </c>
      <c r="AA145" s="14">
        <f ca="1">IF(Table25[[#This Row],[Start Date]]&gt;TODAY(),1,)</f>
        <v>0</v>
      </c>
    </row>
    <row r="146" spans="1:27" s="93" customFormat="1" ht="14.25" hidden="1" customHeight="1" x14ac:dyDescent="0.25">
      <c r="A146" s="52"/>
      <c r="B146" s="86"/>
      <c r="C146" s="87" t="e">
        <v>#N/A</v>
      </c>
      <c r="D146" s="87" t="e">
        <v>#N/A</v>
      </c>
      <c r="E146" s="86"/>
      <c r="F146" s="89"/>
      <c r="G146" s="89"/>
      <c r="H146" s="89"/>
      <c r="I146" s="88"/>
      <c r="J146" s="88"/>
      <c r="K146" s="88"/>
      <c r="L146" s="88"/>
      <c r="M146" s="88"/>
      <c r="N146" s="88"/>
      <c r="O146" s="86"/>
      <c r="P146" s="86"/>
      <c r="Q146" s="14" t="e">
        <v>#N/A</v>
      </c>
      <c r="R146" s="14" t="e">
        <v>#N/A</v>
      </c>
      <c r="S146" s="14"/>
      <c r="T146" s="90"/>
      <c r="U146" s="14"/>
      <c r="V146" s="14"/>
      <c r="W146" s="14"/>
      <c r="X146" s="86"/>
      <c r="Y146" s="59">
        <f ca="1">Table25[[#This Row],[End Date]]+2-TODAY()</f>
        <v>-45816</v>
      </c>
      <c r="Z146" s="14">
        <f>IF(ISBLANK(Table25[[#This Row],[Roster Received By]]),1,0)</f>
        <v>1</v>
      </c>
      <c r="AA146" s="14">
        <f ca="1">IF(Table25[[#This Row],[Start Date]]&gt;TODAY(),1,)</f>
        <v>0</v>
      </c>
    </row>
    <row r="147" spans="1:27" s="93" customFormat="1" ht="14.25" hidden="1" customHeight="1" x14ac:dyDescent="0.25">
      <c r="A147" s="52"/>
      <c r="B147" s="86"/>
      <c r="C147" s="87" t="e">
        <v>#N/A</v>
      </c>
      <c r="D147" s="87" t="e">
        <v>#N/A</v>
      </c>
      <c r="E147" s="86"/>
      <c r="F147" s="89"/>
      <c r="G147" s="89"/>
      <c r="H147" s="89"/>
      <c r="I147" s="88"/>
      <c r="J147" s="88"/>
      <c r="K147" s="88"/>
      <c r="L147" s="88"/>
      <c r="M147" s="88"/>
      <c r="N147" s="88"/>
      <c r="O147" s="86"/>
      <c r="P147" s="86"/>
      <c r="Q147" s="14" t="e">
        <v>#N/A</v>
      </c>
      <c r="R147" s="14" t="e">
        <v>#N/A</v>
      </c>
      <c r="S147" s="14"/>
      <c r="T147" s="90"/>
      <c r="U147" s="14"/>
      <c r="V147" s="14"/>
      <c r="W147" s="14"/>
      <c r="X147" s="86"/>
      <c r="Y147" s="59">
        <f ca="1">Table25[[#This Row],[End Date]]+2-TODAY()</f>
        <v>-45816</v>
      </c>
      <c r="Z147" s="14">
        <f>IF(ISBLANK(Table25[[#This Row],[Roster Received By]]),1,0)</f>
        <v>1</v>
      </c>
      <c r="AA147" s="14">
        <f ca="1">IF(Table25[[#This Row],[Start Date]]&gt;TODAY(),1,)</f>
        <v>0</v>
      </c>
    </row>
    <row r="148" spans="1:27" s="93" customFormat="1" ht="16.5" hidden="1" customHeight="1" x14ac:dyDescent="0.25">
      <c r="A148" s="52"/>
      <c r="B148" s="86"/>
      <c r="C148" s="87" t="e">
        <v>#N/A</v>
      </c>
      <c r="D148" s="87" t="e">
        <v>#N/A</v>
      </c>
      <c r="E148" s="86"/>
      <c r="F148" s="56"/>
      <c r="G148" s="56"/>
      <c r="H148" s="56"/>
      <c r="I148" s="88"/>
      <c r="J148" s="88"/>
      <c r="K148" s="88"/>
      <c r="L148" s="88"/>
      <c r="M148" s="88"/>
      <c r="N148" s="88"/>
      <c r="O148" s="86"/>
      <c r="P148" s="86"/>
      <c r="Q148" s="14" t="e">
        <v>#N/A</v>
      </c>
      <c r="R148" s="14" t="e">
        <v>#N/A</v>
      </c>
      <c r="S148" s="14"/>
      <c r="T148" s="90"/>
      <c r="U148" s="14"/>
      <c r="V148" s="14"/>
      <c r="W148" s="14"/>
      <c r="X148" s="86"/>
      <c r="Y148" s="59">
        <f ca="1">Table25[[#This Row],[End Date]]+2-TODAY()</f>
        <v>-45816</v>
      </c>
      <c r="Z148" s="14">
        <f>IF(ISBLANK(Table25[[#This Row],[Roster Received By]]),1,0)</f>
        <v>1</v>
      </c>
      <c r="AA148" s="14">
        <f ca="1">IF(Table25[[#This Row],[Start Date]]&gt;TODAY(),1,)</f>
        <v>0</v>
      </c>
    </row>
    <row r="149" spans="1:27" s="93" customFormat="1" ht="14.25" hidden="1" customHeight="1" x14ac:dyDescent="0.25">
      <c r="A149" s="86"/>
      <c r="B149" s="86"/>
      <c r="C149" s="87" t="e">
        <v>#N/A</v>
      </c>
      <c r="D149" s="87" t="e">
        <v>#N/A</v>
      </c>
      <c r="E149" s="86"/>
      <c r="F149" s="89"/>
      <c r="G149" s="89"/>
      <c r="H149" s="89"/>
      <c r="I149" s="88"/>
      <c r="J149" s="88"/>
      <c r="K149" s="88"/>
      <c r="L149" s="88"/>
      <c r="M149" s="88"/>
      <c r="N149" s="88"/>
      <c r="O149" s="86"/>
      <c r="P149" s="86"/>
      <c r="Q149" s="14" t="e">
        <v>#N/A</v>
      </c>
      <c r="R149" s="14" t="e">
        <v>#N/A</v>
      </c>
      <c r="S149" s="14"/>
      <c r="T149" s="90"/>
      <c r="U149" s="14"/>
      <c r="V149" s="14"/>
      <c r="W149" s="14"/>
      <c r="X149" s="86"/>
      <c r="Y149" s="59">
        <f ca="1">Table25[[#This Row],[End Date]]+2-TODAY()</f>
        <v>-45816</v>
      </c>
      <c r="Z149" s="14">
        <f>IF(ISBLANK(Table25[[#This Row],[Roster Received By]]),1,0)</f>
        <v>1</v>
      </c>
      <c r="AA149" s="14">
        <f ca="1">IF(Table25[[#This Row],[Start Date]]&gt;TODAY(),1,)</f>
        <v>0</v>
      </c>
    </row>
    <row r="150" spans="1:27" s="93" customFormat="1" ht="14.25" hidden="1" customHeight="1" x14ac:dyDescent="0.25">
      <c r="A150" s="52"/>
      <c r="B150" s="86"/>
      <c r="C150" s="87" t="e">
        <v>#N/A</v>
      </c>
      <c r="D150" s="87" t="e">
        <v>#N/A</v>
      </c>
      <c r="E150" s="86"/>
      <c r="F150" s="56"/>
      <c r="G150" s="56"/>
      <c r="H150" s="92"/>
      <c r="I150" s="92"/>
      <c r="J150" s="89"/>
      <c r="K150" s="89"/>
      <c r="L150" s="89"/>
      <c r="M150" s="89"/>
      <c r="N150" s="89"/>
      <c r="O150" s="86"/>
      <c r="P150" s="86"/>
      <c r="Q150" s="14" t="e">
        <v>#N/A</v>
      </c>
      <c r="R150" s="14" t="e">
        <v>#N/A</v>
      </c>
      <c r="S150" s="14"/>
      <c r="T150" s="90"/>
      <c r="U150" s="14"/>
      <c r="V150" s="14"/>
      <c r="W150" s="87"/>
      <c r="X150" s="86"/>
      <c r="Y150" s="96">
        <f ca="1">Table25[[#This Row],[End Date]]+2-TODAY()</f>
        <v>-45816</v>
      </c>
      <c r="Z150" s="14">
        <f>IF(ISBLANK(Table25[[#This Row],[Roster Received By]]),1,0)</f>
        <v>1</v>
      </c>
      <c r="AA150" s="87">
        <f ca="1">IF(Table25[[#This Row],[Start Date]]&gt;TODAY(),1,)</f>
        <v>0</v>
      </c>
    </row>
    <row r="151" spans="1:27" s="93" customFormat="1" ht="14.25" hidden="1" customHeight="1" x14ac:dyDescent="0.25">
      <c r="A151" s="52"/>
      <c r="B151" s="86"/>
      <c r="C151" s="87" t="e">
        <v>#N/A</v>
      </c>
      <c r="D151" s="87" t="e">
        <v>#N/A</v>
      </c>
      <c r="E151" s="86"/>
      <c r="F151" s="89"/>
      <c r="G151" s="89"/>
      <c r="H151" s="89"/>
      <c r="I151" s="88"/>
      <c r="J151" s="88"/>
      <c r="K151" s="88"/>
      <c r="L151" s="88"/>
      <c r="M151" s="88"/>
      <c r="N151" s="88"/>
      <c r="O151" s="86"/>
      <c r="P151" s="86"/>
      <c r="Q151" s="14" t="e">
        <v>#N/A</v>
      </c>
      <c r="R151" s="14" t="e">
        <v>#N/A</v>
      </c>
      <c r="S151" s="14"/>
      <c r="T151" s="90"/>
      <c r="U151" s="14"/>
      <c r="V151" s="14"/>
      <c r="W151" s="14"/>
      <c r="X151" s="86"/>
      <c r="Y151" s="59">
        <f ca="1">Table25[[#This Row],[End Date]]+2-TODAY()</f>
        <v>-45816</v>
      </c>
      <c r="Z151" s="14">
        <f>IF(ISBLANK(Table25[[#This Row],[Roster Received By]]),1,0)</f>
        <v>1</v>
      </c>
      <c r="AA151" s="14">
        <f ca="1">IF(Table25[[#This Row],[Start Date]]&gt;TODAY(),1,)</f>
        <v>0</v>
      </c>
    </row>
    <row r="152" spans="1:27" s="93" customFormat="1" ht="14.25" hidden="1" customHeight="1" x14ac:dyDescent="0.25">
      <c r="A152" s="86"/>
      <c r="B152" s="86"/>
      <c r="C152" s="87" t="e">
        <v>#N/A</v>
      </c>
      <c r="D152" s="87" t="e">
        <v>#N/A</v>
      </c>
      <c r="E152" s="54"/>
      <c r="F152" s="89"/>
      <c r="G152" s="89"/>
      <c r="H152" s="92"/>
      <c r="I152" s="92"/>
      <c r="J152" s="89"/>
      <c r="K152" s="89"/>
      <c r="L152" s="89"/>
      <c r="M152" s="89"/>
      <c r="N152" s="89"/>
      <c r="O152" s="86"/>
      <c r="P152" s="86"/>
      <c r="Q152" s="14" t="e">
        <v>#N/A</v>
      </c>
      <c r="R152" s="14" t="e">
        <v>#N/A</v>
      </c>
      <c r="S152" s="14"/>
      <c r="T152" s="90"/>
      <c r="U152" s="14"/>
      <c r="V152" s="14"/>
      <c r="W152" s="14"/>
      <c r="X152" s="86"/>
      <c r="Y152" s="59">
        <f ca="1">Table25[[#This Row],[End Date]]+2-TODAY()</f>
        <v>-45816</v>
      </c>
      <c r="Z152" s="14">
        <f>IF(ISBLANK(Table25[[#This Row],[Roster Received By]]),1,0)</f>
        <v>1</v>
      </c>
      <c r="AA152" s="14">
        <f ca="1">IF(Table25[[#This Row],[Start Date]]&gt;TODAY(),1,)</f>
        <v>0</v>
      </c>
    </row>
    <row r="153" spans="1:27" s="122" customFormat="1" hidden="1" x14ac:dyDescent="0.25">
      <c r="A153" s="52"/>
      <c r="B153" s="86"/>
      <c r="C153" s="87" t="e">
        <v>#N/A</v>
      </c>
      <c r="D153" s="87" t="e">
        <v>#N/A</v>
      </c>
      <c r="E153" s="86"/>
      <c r="F153" s="89"/>
      <c r="G153" s="89"/>
      <c r="H153" s="92"/>
      <c r="I153" s="92"/>
      <c r="J153" s="89"/>
      <c r="K153" s="89"/>
      <c r="L153" s="89"/>
      <c r="M153" s="89"/>
      <c r="N153" s="89"/>
      <c r="O153" s="86"/>
      <c r="P153" s="86"/>
      <c r="Q153" s="14" t="e">
        <v>#N/A</v>
      </c>
      <c r="R153" s="14" t="e">
        <v>#N/A</v>
      </c>
      <c r="S153" s="14"/>
      <c r="T153" s="90"/>
      <c r="U153" s="14"/>
      <c r="V153" s="14"/>
      <c r="W153" s="14"/>
      <c r="X153" s="86"/>
      <c r="Y153" s="59">
        <f ca="1">Table25[[#This Row],[End Date]]+2-TODAY()</f>
        <v>-45816</v>
      </c>
      <c r="Z153" s="14">
        <f>IF(ISBLANK(Table25[[#This Row],[Roster Received By]]),1,0)</f>
        <v>1</v>
      </c>
      <c r="AA153" s="14">
        <f ca="1">IF(Table25[[#This Row],[Start Date]]&gt;TODAY(),1,)</f>
        <v>0</v>
      </c>
    </row>
    <row r="154" spans="1:27" s="93" customFormat="1" ht="14.25" hidden="1" customHeight="1" x14ac:dyDescent="0.25">
      <c r="A154" s="52"/>
      <c r="B154" s="86"/>
      <c r="C154" s="87" t="e">
        <v>#N/A</v>
      </c>
      <c r="D154" s="87" t="e">
        <v>#N/A</v>
      </c>
      <c r="E154" s="86"/>
      <c r="F154" s="89"/>
      <c r="G154" s="89"/>
      <c r="H154" s="92"/>
      <c r="I154" s="92"/>
      <c r="J154" s="89"/>
      <c r="K154" s="89"/>
      <c r="L154" s="89"/>
      <c r="M154" s="89"/>
      <c r="N154" s="89"/>
      <c r="O154" s="86"/>
      <c r="P154" s="86"/>
      <c r="Q154" s="14" t="e">
        <v>#N/A</v>
      </c>
      <c r="R154" s="14" t="e">
        <v>#N/A</v>
      </c>
      <c r="S154" s="14"/>
      <c r="T154" s="90"/>
      <c r="U154" s="14"/>
      <c r="V154" s="14"/>
      <c r="W154" s="14"/>
      <c r="X154" s="86"/>
      <c r="Y154" s="59">
        <f ca="1">Table25[[#This Row],[End Date]]+2-TODAY()</f>
        <v>-45816</v>
      </c>
      <c r="Z154" s="14">
        <f>IF(ISBLANK(Table25[[#This Row],[Roster Received By]]),1,0)</f>
        <v>1</v>
      </c>
      <c r="AA154" s="14">
        <f ca="1">IF(Table25[[#This Row],[Start Date]]&gt;TODAY(),1,)</f>
        <v>0</v>
      </c>
    </row>
    <row r="155" spans="1:27" s="52" customFormat="1" hidden="1" x14ac:dyDescent="0.25">
      <c r="B155" s="86"/>
      <c r="C155" s="87" t="e">
        <v>#N/A</v>
      </c>
      <c r="D155" s="87" t="e">
        <v>#N/A</v>
      </c>
      <c r="E155" s="86"/>
      <c r="F155" s="89"/>
      <c r="G155" s="89"/>
      <c r="H155" s="92"/>
      <c r="I155" s="92"/>
      <c r="J155" s="89"/>
      <c r="K155" s="89"/>
      <c r="L155" s="89"/>
      <c r="M155" s="89"/>
      <c r="N155" s="89"/>
      <c r="O155" s="86"/>
      <c r="P155" s="86"/>
      <c r="Q155" s="14" t="e">
        <v>#N/A</v>
      </c>
      <c r="R155" s="14" t="e">
        <v>#N/A</v>
      </c>
      <c r="S155" s="14"/>
      <c r="T155" s="90"/>
      <c r="U155" s="14"/>
      <c r="V155" s="14"/>
      <c r="W155" s="14"/>
      <c r="X155" s="86"/>
      <c r="Y155" s="59">
        <f ca="1">Table25[[#This Row],[End Date]]+2-TODAY()</f>
        <v>-45816</v>
      </c>
      <c r="Z155" s="14">
        <f>IF(ISBLANK(Table25[[#This Row],[Roster Received By]]),1,0)</f>
        <v>1</v>
      </c>
      <c r="AA155" s="14">
        <f ca="1">IF(Table25[[#This Row],[Start Date]]&gt;TODAY(),1,)</f>
        <v>0</v>
      </c>
    </row>
    <row r="156" spans="1:27" s="52" customFormat="1" hidden="1" x14ac:dyDescent="0.25">
      <c r="A156" s="86"/>
      <c r="B156" s="86"/>
      <c r="C156" s="87" t="e">
        <v>#N/A</v>
      </c>
      <c r="D156" s="87" t="e">
        <v>#N/A</v>
      </c>
      <c r="E156" s="86"/>
      <c r="F156" s="89"/>
      <c r="G156" s="89"/>
      <c r="H156" s="92"/>
      <c r="I156" s="92"/>
      <c r="J156" s="89"/>
      <c r="K156" s="89"/>
      <c r="L156" s="89"/>
      <c r="M156" s="89"/>
      <c r="N156" s="89"/>
      <c r="O156" s="86"/>
      <c r="P156" s="86"/>
      <c r="Q156" s="14" t="e">
        <v>#N/A</v>
      </c>
      <c r="R156" s="14" t="e">
        <v>#N/A</v>
      </c>
      <c r="S156" s="14"/>
      <c r="T156" s="90"/>
      <c r="U156" s="14"/>
      <c r="V156" s="14"/>
      <c r="W156" s="14"/>
      <c r="X156" s="86"/>
      <c r="Y156" s="59">
        <f ca="1">Table25[[#This Row],[End Date]]+2-TODAY()</f>
        <v>-45816</v>
      </c>
      <c r="Z156" s="14">
        <f>IF(ISBLANK(Table25[[#This Row],[Roster Received By]]),1,0)</f>
        <v>1</v>
      </c>
      <c r="AA156" s="14">
        <f ca="1">IF(Table25[[#This Row],[Start Date]]&gt;TODAY(),1,)</f>
        <v>0</v>
      </c>
    </row>
    <row r="157" spans="1:27" s="52" customFormat="1" hidden="1" x14ac:dyDescent="0.25">
      <c r="B157" s="86"/>
      <c r="C157" s="87" t="e">
        <v>#N/A</v>
      </c>
      <c r="D157" s="87" t="e">
        <v>#N/A</v>
      </c>
      <c r="E157" s="86"/>
      <c r="F157" s="89"/>
      <c r="G157" s="89"/>
      <c r="H157" s="89"/>
      <c r="I157" s="88"/>
      <c r="J157" s="88"/>
      <c r="K157" s="88"/>
      <c r="L157" s="88"/>
      <c r="M157" s="88"/>
      <c r="N157" s="88"/>
      <c r="O157" s="86"/>
      <c r="P157" s="86"/>
      <c r="Q157" s="14" t="e">
        <v>#N/A</v>
      </c>
      <c r="R157" s="14" t="e">
        <v>#N/A</v>
      </c>
      <c r="S157" s="14"/>
      <c r="T157" s="90"/>
      <c r="U157" s="14"/>
      <c r="V157" s="14"/>
      <c r="W157" s="14"/>
      <c r="X157" s="86"/>
      <c r="Y157" s="59">
        <f ca="1">Table25[[#This Row],[End Date]]+2-TODAY()</f>
        <v>-45816</v>
      </c>
      <c r="Z157" s="14">
        <f>IF(ISBLANK(Table25[[#This Row],[Roster Received By]]),1,0)</f>
        <v>1</v>
      </c>
      <c r="AA157" s="14">
        <f ca="1">IF(Table25[[#This Row],[Start Date]]&gt;TODAY(),1,)</f>
        <v>0</v>
      </c>
    </row>
    <row r="158" spans="1:27" s="52" customFormat="1" hidden="1" x14ac:dyDescent="0.25">
      <c r="B158" s="86"/>
      <c r="C158" s="87" t="e">
        <v>#N/A</v>
      </c>
      <c r="D158" s="87" t="e">
        <v>#N/A</v>
      </c>
      <c r="E158" s="86"/>
      <c r="F158" s="89"/>
      <c r="G158" s="89"/>
      <c r="H158" s="89"/>
      <c r="I158" s="88"/>
      <c r="J158" s="88"/>
      <c r="K158" s="88"/>
      <c r="L158" s="88"/>
      <c r="M158" s="88"/>
      <c r="N158" s="88"/>
      <c r="O158" s="86"/>
      <c r="P158" s="86"/>
      <c r="Q158" s="14" t="e">
        <v>#N/A</v>
      </c>
      <c r="R158" s="14" t="e">
        <v>#N/A</v>
      </c>
      <c r="S158" s="14"/>
      <c r="T158" s="90"/>
      <c r="U158" s="14"/>
      <c r="V158" s="14"/>
      <c r="W158" s="14"/>
      <c r="X158" s="86"/>
      <c r="Y158" s="59">
        <f ca="1">Table25[[#This Row],[End Date]]+2-TODAY()</f>
        <v>-45816</v>
      </c>
      <c r="Z158" s="14">
        <f>IF(ISBLANK(Table25[[#This Row],[Roster Received By]]),1,0)</f>
        <v>1</v>
      </c>
      <c r="AA158" s="14">
        <f ca="1">IF(Table25[[#This Row],[Start Date]]&gt;TODAY(),1,)</f>
        <v>0</v>
      </c>
    </row>
    <row r="159" spans="1:27" s="52" customFormat="1" hidden="1" x14ac:dyDescent="0.25">
      <c r="A159" s="54"/>
      <c r="B159" s="86"/>
      <c r="C159" s="87" t="e">
        <v>#N/A</v>
      </c>
      <c r="D159" s="87" t="e">
        <v>#N/A</v>
      </c>
      <c r="E159" s="86"/>
      <c r="F159" s="89"/>
      <c r="G159" s="89"/>
      <c r="H159" s="92"/>
      <c r="I159" s="92"/>
      <c r="J159" s="89"/>
      <c r="K159" s="89"/>
      <c r="L159" s="89"/>
      <c r="M159" s="89"/>
      <c r="N159" s="89"/>
      <c r="O159" s="86"/>
      <c r="P159" s="86"/>
      <c r="Q159" s="14" t="e">
        <v>#N/A</v>
      </c>
      <c r="R159" s="14" t="e">
        <v>#N/A</v>
      </c>
      <c r="S159" s="90"/>
      <c r="T159" s="90"/>
      <c r="U159" s="14"/>
      <c r="V159" s="14"/>
      <c r="W159" s="87"/>
      <c r="X159" s="86"/>
      <c r="Y159" s="96">
        <f ca="1">Table25[[#This Row],[End Date]]+2-TODAY()</f>
        <v>-45816</v>
      </c>
      <c r="Z159" s="14">
        <f>IF(ISBLANK(Table25[[#This Row],[Roster Received By]]),1,0)</f>
        <v>1</v>
      </c>
      <c r="AA159" s="87">
        <f ca="1">IF(Table25[[#This Row],[Start Date]]&gt;TODAY(),1,)</f>
        <v>0</v>
      </c>
    </row>
    <row r="160" spans="1:27" s="52" customFormat="1" hidden="1" x14ac:dyDescent="0.25">
      <c r="A160" s="87"/>
      <c r="B160" s="86"/>
      <c r="C160" s="87" t="e">
        <v>#N/A</v>
      </c>
      <c r="D160" s="87" t="e">
        <v>#N/A</v>
      </c>
      <c r="E160" s="86"/>
      <c r="F160" s="89"/>
      <c r="G160" s="89"/>
      <c r="H160" s="95"/>
      <c r="I160" s="95"/>
      <c r="J160" s="89"/>
      <c r="K160" s="89"/>
      <c r="L160" s="89"/>
      <c r="M160" s="89"/>
      <c r="N160" s="89"/>
      <c r="O160" s="86"/>
      <c r="P160" s="86"/>
      <c r="Q160" s="14" t="e">
        <v>#N/A</v>
      </c>
      <c r="R160" s="14" t="e">
        <v>#N/A</v>
      </c>
      <c r="S160" s="94"/>
      <c r="T160" s="90"/>
      <c r="U160" s="14"/>
      <c r="V160" s="14"/>
      <c r="W160" s="14"/>
      <c r="X160" s="86"/>
      <c r="Y160" s="59">
        <f ca="1">Table25[[#This Row],[End Date]]+2-TODAY()</f>
        <v>-45816</v>
      </c>
      <c r="Z160" s="14">
        <f>IF(ISBLANK(Table25[[#This Row],[Roster Received By]]),1,0)</f>
        <v>1</v>
      </c>
      <c r="AA160" s="14">
        <f ca="1">IF(Table25[[#This Row],[Start Date]]&gt;TODAY(),1,)</f>
        <v>0</v>
      </c>
    </row>
    <row r="161" spans="1:27" s="52" customFormat="1" ht="15" hidden="1" customHeight="1" x14ac:dyDescent="0.25">
      <c r="B161" s="86"/>
      <c r="C161" s="87" t="e">
        <v>#N/A</v>
      </c>
      <c r="D161" s="87" t="e">
        <v>#N/A</v>
      </c>
      <c r="E161" s="86"/>
      <c r="F161" s="89"/>
      <c r="G161" s="89"/>
      <c r="H161" s="95"/>
      <c r="I161" s="95"/>
      <c r="J161" s="89"/>
      <c r="K161" s="89"/>
      <c r="L161" s="89"/>
      <c r="M161" s="89"/>
      <c r="N161" s="89"/>
      <c r="O161" s="86"/>
      <c r="P161" s="86"/>
      <c r="Q161" s="14" t="e">
        <v>#N/A</v>
      </c>
      <c r="R161" s="14" t="e">
        <v>#N/A</v>
      </c>
      <c r="S161" s="14"/>
      <c r="T161" s="90"/>
      <c r="U161" s="14"/>
      <c r="V161" s="14"/>
      <c r="W161" s="14"/>
      <c r="X161" s="86"/>
      <c r="Y161" s="59">
        <f ca="1">Table25[[#This Row],[End Date]]+2-TODAY()</f>
        <v>-45816</v>
      </c>
      <c r="Z161" s="14">
        <f>IF(ISBLANK(Table25[[#This Row],[Roster Received By]]),1,0)</f>
        <v>1</v>
      </c>
      <c r="AA161" s="14">
        <f ca="1">IF(Table25[[#This Row],[Start Date]]&gt;TODAY(),1,)</f>
        <v>0</v>
      </c>
    </row>
    <row r="162" spans="1:27" s="52" customFormat="1" hidden="1" x14ac:dyDescent="0.25">
      <c r="B162" s="86"/>
      <c r="C162" s="87" t="e">
        <v>#N/A</v>
      </c>
      <c r="D162" s="87" t="e">
        <v>#N/A</v>
      </c>
      <c r="E162" s="86"/>
      <c r="F162" s="89"/>
      <c r="G162" s="89"/>
      <c r="H162" s="92"/>
      <c r="I162" s="92"/>
      <c r="J162" s="89"/>
      <c r="K162" s="89"/>
      <c r="L162" s="89"/>
      <c r="M162" s="89"/>
      <c r="N162" s="89"/>
      <c r="O162" s="86"/>
      <c r="P162" s="86"/>
      <c r="Q162" s="14" t="e">
        <v>#N/A</v>
      </c>
      <c r="R162" s="14" t="e">
        <v>#N/A</v>
      </c>
      <c r="S162" s="14"/>
      <c r="T162" s="90"/>
      <c r="U162" s="14"/>
      <c r="V162" s="14"/>
      <c r="W162" s="14"/>
      <c r="X162" s="86"/>
      <c r="Y162" s="59">
        <f ca="1">Table25[[#This Row],[End Date]]+2-TODAY()</f>
        <v>-45816</v>
      </c>
      <c r="Z162" s="14">
        <f>IF(ISBLANK(Table25[[#This Row],[Roster Received By]]),1,0)</f>
        <v>1</v>
      </c>
      <c r="AA162" s="14">
        <f ca="1">IF(Table25[[#This Row],[Start Date]]&gt;TODAY(),1,)</f>
        <v>0</v>
      </c>
    </row>
    <row r="163" spans="1:27" s="52" customFormat="1" hidden="1" x14ac:dyDescent="0.25">
      <c r="B163" s="86"/>
      <c r="C163" s="87" t="e">
        <v>#N/A</v>
      </c>
      <c r="D163" s="87" t="e">
        <v>#N/A</v>
      </c>
      <c r="E163" s="86"/>
      <c r="F163" s="89"/>
      <c r="G163" s="89"/>
      <c r="H163" s="92"/>
      <c r="I163" s="92"/>
      <c r="J163" s="89"/>
      <c r="K163" s="89"/>
      <c r="L163" s="89"/>
      <c r="M163" s="89"/>
      <c r="N163" s="89"/>
      <c r="O163" s="86"/>
      <c r="P163" s="86"/>
      <c r="Q163" s="14" t="e">
        <v>#N/A</v>
      </c>
      <c r="R163" s="14" t="e">
        <v>#N/A</v>
      </c>
      <c r="S163" s="90"/>
      <c r="T163" s="90"/>
      <c r="U163" s="14"/>
      <c r="V163" s="14"/>
      <c r="W163" s="14"/>
      <c r="X163" s="86"/>
      <c r="Y163" s="59">
        <f ca="1">Table25[[#This Row],[End Date]]+2-TODAY()</f>
        <v>-45816</v>
      </c>
      <c r="Z163" s="14">
        <f>IF(ISBLANK(Table25[[#This Row],[Roster Received By]]),1,0)</f>
        <v>1</v>
      </c>
      <c r="AA163" s="14">
        <f ca="1">IF(Table25[[#This Row],[Start Date]]&gt;TODAY(),1,)</f>
        <v>0</v>
      </c>
    </row>
    <row r="164" spans="1:27" s="52" customFormat="1" hidden="1" x14ac:dyDescent="0.25">
      <c r="B164" s="86"/>
      <c r="C164" s="87" t="e">
        <v>#N/A</v>
      </c>
      <c r="D164" s="87" t="e">
        <v>#N/A</v>
      </c>
      <c r="E164" s="86"/>
      <c r="F164" s="89"/>
      <c r="G164" s="89"/>
      <c r="H164" s="92"/>
      <c r="I164" s="92"/>
      <c r="J164" s="89"/>
      <c r="K164" s="89"/>
      <c r="L164" s="89"/>
      <c r="M164" s="89"/>
      <c r="N164" s="89"/>
      <c r="O164" s="86"/>
      <c r="P164" s="86"/>
      <c r="Q164" s="14" t="e">
        <v>#N/A</v>
      </c>
      <c r="R164" s="14" t="e">
        <v>#N/A</v>
      </c>
      <c r="S164" s="14"/>
      <c r="T164" s="90"/>
      <c r="U164" s="14"/>
      <c r="V164" s="14"/>
      <c r="W164" s="14"/>
      <c r="X164" s="86"/>
      <c r="Y164" s="59">
        <f ca="1">Table25[[#This Row],[End Date]]+2-TODAY()</f>
        <v>-45816</v>
      </c>
      <c r="Z164" s="14">
        <f>IF(ISBLANK(Table25[[#This Row],[Roster Received By]]),1,0)</f>
        <v>1</v>
      </c>
      <c r="AA164" s="14">
        <f ca="1">IF(Table25[[#This Row],[Start Date]]&gt;TODAY(),1,)</f>
        <v>0</v>
      </c>
    </row>
    <row r="165" spans="1:27" s="52" customFormat="1" hidden="1" x14ac:dyDescent="0.25">
      <c r="B165" s="86"/>
      <c r="C165" s="87" t="e">
        <v>#N/A</v>
      </c>
      <c r="D165" s="87" t="e">
        <v>#N/A</v>
      </c>
      <c r="E165" s="128"/>
      <c r="F165" s="89"/>
      <c r="G165" s="89"/>
      <c r="H165" s="92"/>
      <c r="I165" s="88"/>
      <c r="J165" s="88"/>
      <c r="K165" s="88"/>
      <c r="L165" s="88"/>
      <c r="M165" s="88"/>
      <c r="N165" s="88"/>
      <c r="O165" s="86"/>
      <c r="P165" s="86"/>
      <c r="Q165" s="14" t="e">
        <v>#N/A</v>
      </c>
      <c r="R165" s="14" t="e">
        <v>#N/A</v>
      </c>
      <c r="S165" s="14"/>
      <c r="T165" s="90"/>
      <c r="U165" s="14"/>
      <c r="V165" s="14"/>
      <c r="W165" s="14"/>
      <c r="X165" s="86"/>
      <c r="Y165" s="59">
        <f ca="1">Table25[[#This Row],[End Date]]+2-TODAY()</f>
        <v>-45816</v>
      </c>
      <c r="Z165" s="14">
        <f>IF(ISBLANK(Table25[[#This Row],[Roster Received By]]),1,0)</f>
        <v>1</v>
      </c>
      <c r="AA165" s="14">
        <f ca="1">IF(Table25[[#This Row],[Start Date]]&gt;TODAY(),1,)</f>
        <v>0</v>
      </c>
    </row>
    <row r="166" spans="1:27" s="52" customFormat="1" hidden="1" x14ac:dyDescent="0.25">
      <c r="A166" s="86"/>
      <c r="B166" s="86"/>
      <c r="C166" s="87" t="e">
        <v>#N/A</v>
      </c>
      <c r="D166" s="87" t="e">
        <v>#N/A</v>
      </c>
      <c r="E166" s="54"/>
      <c r="F166" s="56"/>
      <c r="G166" s="56"/>
      <c r="H166" s="92"/>
      <c r="I166" s="92"/>
      <c r="J166" s="89"/>
      <c r="K166" s="89"/>
      <c r="L166" s="89"/>
      <c r="M166" s="89"/>
      <c r="N166" s="89"/>
      <c r="O166" s="86"/>
      <c r="P166" s="86"/>
      <c r="Q166" s="14" t="e">
        <v>#N/A</v>
      </c>
      <c r="R166" s="14" t="e">
        <v>#N/A</v>
      </c>
      <c r="S166" s="14"/>
      <c r="T166" s="90"/>
      <c r="U166" s="14"/>
      <c r="V166" s="14"/>
      <c r="W166" s="14"/>
      <c r="X166" s="86"/>
      <c r="Y166" s="59">
        <f ca="1">Table25[[#This Row],[End Date]]+2-TODAY()</f>
        <v>-45816</v>
      </c>
      <c r="Z166" s="14">
        <f>IF(ISBLANK(Table25[[#This Row],[Roster Received By]]),1,0)</f>
        <v>1</v>
      </c>
      <c r="AA166" s="14">
        <f ca="1">IF(Table25[[#This Row],[Start Date]]&gt;TODAY(),1,)</f>
        <v>0</v>
      </c>
    </row>
    <row r="167" spans="1:27" s="52" customFormat="1" hidden="1" x14ac:dyDescent="0.25">
      <c r="B167" s="86"/>
      <c r="C167" s="87" t="e">
        <v>#N/A</v>
      </c>
      <c r="D167" s="87" t="e">
        <v>#N/A</v>
      </c>
      <c r="E167" s="86"/>
      <c r="F167" s="89"/>
      <c r="G167" s="89"/>
      <c r="H167" s="89"/>
      <c r="I167" s="88"/>
      <c r="J167" s="88"/>
      <c r="K167" s="88"/>
      <c r="L167" s="88"/>
      <c r="M167" s="88"/>
      <c r="N167" s="88"/>
      <c r="O167" s="86"/>
      <c r="P167" s="86"/>
      <c r="Q167" s="14" t="e">
        <v>#N/A</v>
      </c>
      <c r="R167" s="14" t="e">
        <v>#N/A</v>
      </c>
      <c r="S167" s="14"/>
      <c r="T167" s="90"/>
      <c r="U167" s="14"/>
      <c r="V167" s="14"/>
      <c r="W167" s="14"/>
      <c r="X167" s="86"/>
      <c r="Y167" s="59">
        <f ca="1">Table25[[#This Row],[End Date]]+2-TODAY()</f>
        <v>-45816</v>
      </c>
      <c r="Z167" s="14">
        <f>IF(ISBLANK(Table25[[#This Row],[Roster Received By]]),1,0)</f>
        <v>1</v>
      </c>
      <c r="AA167" s="14">
        <f ca="1">IF(Table25[[#This Row],[Start Date]]&gt;TODAY(),1,)</f>
        <v>0</v>
      </c>
    </row>
    <row r="168" spans="1:27" s="52" customFormat="1" hidden="1" x14ac:dyDescent="0.25">
      <c r="B168" s="86"/>
      <c r="C168" s="87" t="e">
        <v>#N/A</v>
      </c>
      <c r="D168" s="87" t="e">
        <v>#N/A</v>
      </c>
      <c r="E168" s="86"/>
      <c r="F168" s="89"/>
      <c r="G168" s="89"/>
      <c r="H168" s="89"/>
      <c r="I168" s="88"/>
      <c r="J168" s="88"/>
      <c r="K168" s="88"/>
      <c r="L168" s="88"/>
      <c r="M168" s="88"/>
      <c r="N168" s="88"/>
      <c r="O168" s="86"/>
      <c r="P168" s="86"/>
      <c r="Q168" s="14" t="e">
        <v>#N/A</v>
      </c>
      <c r="R168" s="14" t="e">
        <v>#N/A</v>
      </c>
      <c r="S168" s="14"/>
      <c r="T168" s="90"/>
      <c r="U168" s="14"/>
      <c r="V168" s="14"/>
      <c r="W168" s="87"/>
      <c r="X168" s="86"/>
      <c r="Y168" s="59">
        <f ca="1">Table25[[#This Row],[End Date]]+2-TODAY()</f>
        <v>-45816</v>
      </c>
      <c r="Z168" s="14">
        <f>IF(ISBLANK(Table25[[#This Row],[Roster Received By]]),1,0)</f>
        <v>1</v>
      </c>
      <c r="AA168" s="14">
        <f ca="1">IF(Table25[[#This Row],[Start Date]]&gt;TODAY(),1,)</f>
        <v>0</v>
      </c>
    </row>
    <row r="169" spans="1:27" s="52" customFormat="1" hidden="1" x14ac:dyDescent="0.25">
      <c r="B169" s="86"/>
      <c r="C169" s="87" t="e">
        <v>#N/A</v>
      </c>
      <c r="D169" s="87" t="e">
        <v>#N/A</v>
      </c>
      <c r="E169" s="86"/>
      <c r="F169" s="97"/>
      <c r="G169" s="97"/>
      <c r="H169" s="92"/>
      <c r="I169" s="88"/>
      <c r="J169" s="88"/>
      <c r="K169" s="88"/>
      <c r="L169" s="88"/>
      <c r="M169" s="88"/>
      <c r="N169" s="88"/>
      <c r="O169" s="86"/>
      <c r="P169" s="86"/>
      <c r="Q169" s="14" t="e">
        <v>#N/A</v>
      </c>
      <c r="R169" s="14" t="e">
        <v>#N/A</v>
      </c>
      <c r="S169" s="90"/>
      <c r="T169" s="90"/>
      <c r="U169" s="14"/>
      <c r="V169" s="14"/>
      <c r="W169" s="87"/>
      <c r="X169" s="86"/>
      <c r="Y169" s="59">
        <f ca="1">Table25[[#This Row],[End Date]]+2-TODAY()</f>
        <v>-45816</v>
      </c>
      <c r="Z169" s="14">
        <f>IF(ISBLANK(Table25[[#This Row],[Roster Received By]]),1,0)</f>
        <v>1</v>
      </c>
      <c r="AA169" s="14">
        <f ca="1">IF(Table25[[#This Row],[Start Date]]&gt;TODAY(),1,)</f>
        <v>0</v>
      </c>
    </row>
    <row r="170" spans="1:27" s="52" customFormat="1" hidden="1" x14ac:dyDescent="0.25">
      <c r="B170" s="86"/>
      <c r="C170" s="87" t="e">
        <v>#N/A</v>
      </c>
      <c r="D170" s="87" t="e">
        <v>#N/A</v>
      </c>
      <c r="E170" s="111"/>
      <c r="F170" s="85"/>
      <c r="G170" s="85"/>
      <c r="H170" s="88"/>
      <c r="I170" s="88"/>
      <c r="J170" s="88"/>
      <c r="K170" s="88"/>
      <c r="L170" s="88"/>
      <c r="M170" s="88"/>
      <c r="N170" s="88"/>
      <c r="O170" s="86"/>
      <c r="P170" s="86"/>
      <c r="Q170" s="14" t="e">
        <v>#N/A</v>
      </c>
      <c r="R170" s="14" t="e">
        <v>#N/A</v>
      </c>
      <c r="S170" s="14"/>
      <c r="T170" s="90"/>
      <c r="U170" s="14"/>
      <c r="V170" s="14"/>
      <c r="W170" s="14"/>
      <c r="X170" s="86"/>
      <c r="Y170" s="59">
        <f ca="1">Table25[[#This Row],[End Date]]+2-TODAY()</f>
        <v>-45816</v>
      </c>
      <c r="Z170" s="14">
        <f>IF(ISBLANK(Table25[[#This Row],[Roster Received By]]),1,0)</f>
        <v>1</v>
      </c>
      <c r="AA170" s="14">
        <f ca="1">IF(Table25[[#This Row],[Start Date]]&gt;TODAY(),1,)</f>
        <v>0</v>
      </c>
    </row>
    <row r="171" spans="1:27" s="52" customFormat="1" hidden="1" x14ac:dyDescent="0.25">
      <c r="B171" s="86"/>
      <c r="C171" s="87" t="e">
        <v>#N/A</v>
      </c>
      <c r="D171" s="87" t="e">
        <v>#N/A</v>
      </c>
      <c r="E171"/>
      <c r="F171" s="97"/>
      <c r="G171" s="97"/>
      <c r="H171" s="92"/>
      <c r="I171" s="92"/>
      <c r="J171" s="89"/>
      <c r="K171" s="89"/>
      <c r="L171" s="89"/>
      <c r="M171" s="89"/>
      <c r="N171" s="89"/>
      <c r="O171" s="86"/>
      <c r="P171" s="86"/>
      <c r="Q171" s="14" t="e">
        <v>#N/A</v>
      </c>
      <c r="R171" s="14" t="e">
        <v>#N/A</v>
      </c>
      <c r="S171" s="14"/>
      <c r="T171" s="90"/>
      <c r="U171" s="14"/>
      <c r="V171" s="14"/>
      <c r="W171" s="14"/>
      <c r="X171" s="86"/>
      <c r="Y171" s="59">
        <f ca="1">Table25[[#This Row],[End Date]]+2-TODAY()</f>
        <v>-45816</v>
      </c>
      <c r="Z171" s="14">
        <f>IF(ISBLANK(Table25[[#This Row],[Roster Received By]]),1,0)</f>
        <v>1</v>
      </c>
      <c r="AA171" s="14">
        <f ca="1">IF(Table25[[#This Row],[Start Date]]&gt;TODAY(),1,)</f>
        <v>0</v>
      </c>
    </row>
    <row r="172" spans="1:27" s="52" customFormat="1" hidden="1" x14ac:dyDescent="0.25">
      <c r="B172" s="86"/>
      <c r="C172" s="87" t="e">
        <v>#N/A</v>
      </c>
      <c r="D172" s="87" t="e">
        <v>#N/A</v>
      </c>
      <c r="E172" s="86"/>
      <c r="F172" s="97"/>
      <c r="G172" s="97"/>
      <c r="H172" s="89"/>
      <c r="I172" s="88"/>
      <c r="J172" s="88"/>
      <c r="K172" s="88"/>
      <c r="L172" s="88"/>
      <c r="M172" s="88"/>
      <c r="N172" s="88"/>
      <c r="O172" s="86"/>
      <c r="P172" s="86"/>
      <c r="Q172" s="14" t="e">
        <v>#N/A</v>
      </c>
      <c r="R172" s="14" t="e">
        <v>#N/A</v>
      </c>
      <c r="S172" s="14"/>
      <c r="T172" s="90"/>
      <c r="U172" s="14"/>
      <c r="V172" s="14"/>
      <c r="W172" s="14"/>
      <c r="X172" s="86"/>
      <c r="Y172" s="59">
        <f ca="1">Table25[[#This Row],[End Date]]+2-TODAY()</f>
        <v>-45816</v>
      </c>
      <c r="Z172" s="14">
        <f>IF(ISBLANK(Table25[[#This Row],[Roster Received By]]),1,0)</f>
        <v>1</v>
      </c>
      <c r="AA172" s="14">
        <f ca="1">IF(Table25[[#This Row],[Start Date]]&gt;TODAY(),1,)</f>
        <v>0</v>
      </c>
    </row>
    <row r="173" spans="1:27" s="52" customFormat="1" hidden="1" x14ac:dyDescent="0.25">
      <c r="B173" s="86"/>
      <c r="C173" s="87" t="e">
        <v>#N/A</v>
      </c>
      <c r="D173" s="87" t="e">
        <v>#N/A</v>
      </c>
      <c r="E173" s="86"/>
      <c r="F173" s="89"/>
      <c r="G173" s="89"/>
      <c r="H173" s="89"/>
      <c r="I173" s="88"/>
      <c r="J173" s="88"/>
      <c r="K173" s="88"/>
      <c r="L173" s="88"/>
      <c r="M173" s="88"/>
      <c r="N173" s="88"/>
      <c r="O173" s="86"/>
      <c r="P173" s="86"/>
      <c r="Q173" s="14" t="e">
        <v>#N/A</v>
      </c>
      <c r="R173" s="14" t="e">
        <v>#N/A</v>
      </c>
      <c r="S173" s="14"/>
      <c r="T173" s="90"/>
      <c r="U173" s="14"/>
      <c r="V173" s="14"/>
      <c r="W173" s="14"/>
      <c r="X173" s="86"/>
      <c r="Y173" s="59">
        <f ca="1">Table25[[#This Row],[End Date]]+2-TODAY()</f>
        <v>-45816</v>
      </c>
      <c r="Z173" s="14">
        <f>IF(ISBLANK(Table25[[#This Row],[Roster Received By]]),1,0)</f>
        <v>1</v>
      </c>
      <c r="AA173" s="14">
        <f ca="1">IF(Table25[[#This Row],[Start Date]]&gt;TODAY(),1,)</f>
        <v>0</v>
      </c>
    </row>
    <row r="174" spans="1:27" s="52" customFormat="1" hidden="1" x14ac:dyDescent="0.25">
      <c r="B174" s="86"/>
      <c r="C174" s="87" t="e">
        <v>#N/A</v>
      </c>
      <c r="D174" s="87" t="e">
        <v>#N/A</v>
      </c>
      <c r="E174" s="86"/>
      <c r="F174" s="97"/>
      <c r="G174" s="97"/>
      <c r="H174" s="89"/>
      <c r="I174" s="88"/>
      <c r="J174" s="88"/>
      <c r="K174" s="88"/>
      <c r="L174" s="88"/>
      <c r="M174" s="88"/>
      <c r="N174" s="88"/>
      <c r="O174" s="86"/>
      <c r="P174" s="86"/>
      <c r="Q174" s="14" t="e">
        <v>#N/A</v>
      </c>
      <c r="R174" s="14" t="e">
        <v>#N/A</v>
      </c>
      <c r="S174" s="14"/>
      <c r="T174" s="90"/>
      <c r="U174" s="14"/>
      <c r="V174" s="14"/>
      <c r="W174" s="14"/>
      <c r="X174" s="86"/>
      <c r="Y174" s="59">
        <f ca="1">Table25[[#This Row],[End Date]]+2-TODAY()</f>
        <v>-45816</v>
      </c>
      <c r="Z174" s="14">
        <f>IF(ISBLANK(Table25[[#This Row],[Roster Received By]]),1,0)</f>
        <v>1</v>
      </c>
      <c r="AA174" s="14">
        <f ca="1">IF(Table25[[#This Row],[Start Date]]&gt;TODAY(),1,)</f>
        <v>0</v>
      </c>
    </row>
    <row r="175" spans="1:27" s="52" customFormat="1" hidden="1" x14ac:dyDescent="0.25">
      <c r="B175" s="86"/>
      <c r="C175" s="87" t="e">
        <v>#N/A</v>
      </c>
      <c r="D175" s="87" t="e">
        <v>#N/A</v>
      </c>
      <c r="E175" s="86"/>
      <c r="F175" s="97"/>
      <c r="G175" s="97"/>
      <c r="H175" s="89"/>
      <c r="I175" s="88"/>
      <c r="J175" s="88"/>
      <c r="K175" s="88"/>
      <c r="L175" s="88"/>
      <c r="M175" s="88"/>
      <c r="N175" s="88"/>
      <c r="O175" s="86"/>
      <c r="P175" s="86"/>
      <c r="Q175" s="14" t="e">
        <v>#N/A</v>
      </c>
      <c r="R175" s="14" t="e">
        <v>#N/A</v>
      </c>
      <c r="S175" s="14"/>
      <c r="T175" s="90"/>
      <c r="U175" s="14"/>
      <c r="V175" s="14"/>
      <c r="W175" s="14"/>
      <c r="X175" s="86"/>
      <c r="Y175" s="59">
        <f ca="1">Table25[[#This Row],[End Date]]+2-TODAY()</f>
        <v>-45816</v>
      </c>
      <c r="Z175" s="14">
        <f>IF(ISBLANK(Table25[[#This Row],[Roster Received By]]),1,0)</f>
        <v>1</v>
      </c>
      <c r="AA175" s="14">
        <f ca="1">IF(Table25[[#This Row],[Start Date]]&gt;TODAY(),1,)</f>
        <v>0</v>
      </c>
    </row>
    <row r="176" spans="1:27" s="52" customFormat="1" hidden="1" x14ac:dyDescent="0.25">
      <c r="B176" s="86"/>
      <c r="C176" s="87" t="e">
        <v>#N/A</v>
      </c>
      <c r="D176" s="87" t="e">
        <v>#N/A</v>
      </c>
      <c r="E176" s="86"/>
      <c r="F176" s="97"/>
      <c r="G176" s="97"/>
      <c r="H176" s="89"/>
      <c r="I176" s="88"/>
      <c r="J176" s="88"/>
      <c r="K176" s="88"/>
      <c r="L176" s="88"/>
      <c r="M176" s="88"/>
      <c r="N176" s="88"/>
      <c r="O176" s="86"/>
      <c r="P176" s="86"/>
      <c r="Q176" s="14" t="e">
        <v>#N/A</v>
      </c>
      <c r="R176" s="14" t="e">
        <v>#N/A</v>
      </c>
      <c r="S176" s="14"/>
      <c r="T176" s="90"/>
      <c r="U176" s="14"/>
      <c r="V176" s="14"/>
      <c r="W176" s="14"/>
      <c r="X176" s="86"/>
      <c r="Y176" s="59">
        <f ca="1">Table25[[#This Row],[End Date]]+2-TODAY()</f>
        <v>-45816</v>
      </c>
      <c r="Z176" s="14">
        <f>IF(ISBLANK(Table25[[#This Row],[Roster Received By]]),1,0)</f>
        <v>1</v>
      </c>
      <c r="AA176" s="14">
        <f ca="1">IF(Table25[[#This Row],[Start Date]]&gt;TODAY(),1,)</f>
        <v>0</v>
      </c>
    </row>
    <row r="177" spans="1:27" s="52" customFormat="1" hidden="1" x14ac:dyDescent="0.25">
      <c r="B177" s="86"/>
      <c r="C177" s="87" t="e">
        <v>#N/A</v>
      </c>
      <c r="D177" s="87" t="e">
        <v>#N/A</v>
      </c>
      <c r="E177" s="86"/>
      <c r="F177" s="97"/>
      <c r="G177" s="97"/>
      <c r="H177" s="89"/>
      <c r="I177" s="88"/>
      <c r="J177" s="88"/>
      <c r="K177" s="88"/>
      <c r="L177" s="88"/>
      <c r="M177" s="88"/>
      <c r="N177" s="88"/>
      <c r="O177" s="86"/>
      <c r="P177" s="86"/>
      <c r="Q177" s="14" t="e">
        <v>#N/A</v>
      </c>
      <c r="R177" s="14" t="e">
        <v>#N/A</v>
      </c>
      <c r="S177" s="14"/>
      <c r="T177" s="90"/>
      <c r="U177" s="14"/>
      <c r="V177" s="14"/>
      <c r="W177" s="87"/>
      <c r="X177" s="86"/>
      <c r="Y177" s="59">
        <f ca="1">Table25[[#This Row],[End Date]]+2-TODAY()</f>
        <v>-45816</v>
      </c>
      <c r="Z177" s="14">
        <f>IF(ISBLANK(Table25[[#This Row],[Roster Received By]]),1,0)</f>
        <v>1</v>
      </c>
      <c r="AA177" s="14">
        <f ca="1">IF(Table25[[#This Row],[Start Date]]&gt;TODAY(),1,)</f>
        <v>0</v>
      </c>
    </row>
    <row r="178" spans="1:27" s="52" customFormat="1" hidden="1" x14ac:dyDescent="0.25">
      <c r="B178" s="86"/>
      <c r="C178" s="87" t="e">
        <v>#N/A</v>
      </c>
      <c r="D178" s="87" t="e">
        <v>#N/A</v>
      </c>
      <c r="E178" s="86"/>
      <c r="F178" s="97"/>
      <c r="G178" s="97"/>
      <c r="H178" s="89"/>
      <c r="I178" s="88"/>
      <c r="J178" s="88"/>
      <c r="K178" s="88"/>
      <c r="L178" s="88"/>
      <c r="M178" s="88"/>
      <c r="N178" s="88"/>
      <c r="O178" s="86"/>
      <c r="P178" s="86"/>
      <c r="Q178" s="14" t="e">
        <v>#N/A</v>
      </c>
      <c r="R178" s="14" t="e">
        <v>#N/A</v>
      </c>
      <c r="S178" s="14"/>
      <c r="T178" s="90"/>
      <c r="U178" s="14"/>
      <c r="V178" s="14"/>
      <c r="W178" s="14"/>
      <c r="X178" s="86"/>
      <c r="Y178" s="59">
        <f ca="1">Table25[[#This Row],[End Date]]+2-TODAY()</f>
        <v>-45816</v>
      </c>
      <c r="Z178" s="14">
        <f>IF(ISBLANK(Table25[[#This Row],[Roster Received By]]),1,0)</f>
        <v>1</v>
      </c>
      <c r="AA178" s="14">
        <f ca="1">IF(Table25[[#This Row],[Start Date]]&gt;TODAY(),1,)</f>
        <v>0</v>
      </c>
    </row>
    <row r="179" spans="1:27" s="52" customFormat="1" hidden="1" x14ac:dyDescent="0.25">
      <c r="B179" s="86"/>
      <c r="C179" s="87" t="e">
        <v>#N/A</v>
      </c>
      <c r="D179" s="87" t="e">
        <v>#N/A</v>
      </c>
      <c r="E179" s="86"/>
      <c r="F179" s="97"/>
      <c r="G179" s="97"/>
      <c r="H179" s="89"/>
      <c r="I179" s="88"/>
      <c r="J179" s="88"/>
      <c r="K179" s="88"/>
      <c r="L179" s="88"/>
      <c r="M179" s="88"/>
      <c r="N179" s="88"/>
      <c r="O179" s="86"/>
      <c r="P179" s="86"/>
      <c r="Q179" s="14" t="e">
        <v>#N/A</v>
      </c>
      <c r="R179" s="14" t="e">
        <v>#N/A</v>
      </c>
      <c r="S179" s="14"/>
      <c r="T179" s="90"/>
      <c r="U179" s="14"/>
      <c r="V179" s="14"/>
      <c r="W179" s="14"/>
      <c r="X179" s="86"/>
      <c r="Y179" s="59">
        <f ca="1">Table25[[#This Row],[End Date]]+2-TODAY()</f>
        <v>-45816</v>
      </c>
      <c r="Z179" s="14">
        <f>IF(ISBLANK(Table25[[#This Row],[Roster Received By]]),1,0)</f>
        <v>1</v>
      </c>
      <c r="AA179" s="14">
        <f ca="1">IF(Table25[[#This Row],[Start Date]]&gt;TODAY(),1,)</f>
        <v>0</v>
      </c>
    </row>
    <row r="180" spans="1:27" s="52" customFormat="1" hidden="1" x14ac:dyDescent="0.25">
      <c r="B180" s="86"/>
      <c r="C180" s="87" t="e">
        <v>#N/A</v>
      </c>
      <c r="D180" s="87" t="e">
        <v>#N/A</v>
      </c>
      <c r="E180" s="86"/>
      <c r="F180" s="97"/>
      <c r="G180" s="97"/>
      <c r="H180" s="92"/>
      <c r="I180" s="92"/>
      <c r="J180" s="92"/>
      <c r="K180" s="92"/>
      <c r="L180" s="92"/>
      <c r="M180" s="92"/>
      <c r="N180" s="89"/>
      <c r="O180" s="86"/>
      <c r="P180" s="86"/>
      <c r="Q180" s="14" t="e">
        <v>#N/A</v>
      </c>
      <c r="R180" s="14" t="e">
        <v>#N/A</v>
      </c>
      <c r="S180" s="14"/>
      <c r="T180" s="90"/>
      <c r="U180" s="14"/>
      <c r="V180" s="14"/>
      <c r="W180" s="14"/>
      <c r="X180" s="86"/>
      <c r="Y180" s="59">
        <f ca="1">Table25[[#This Row],[End Date]]+2-TODAY()</f>
        <v>-45816</v>
      </c>
      <c r="Z180" s="14">
        <f>IF(ISBLANK(Table25[[#This Row],[Roster Received By]]),1,0)</f>
        <v>1</v>
      </c>
      <c r="AA180" s="14">
        <f ca="1">IF(Table25[[#This Row],[Start Date]]&gt;TODAY(),1,)</f>
        <v>0</v>
      </c>
    </row>
    <row r="181" spans="1:27" s="52" customFormat="1" hidden="1" x14ac:dyDescent="0.25">
      <c r="B181" s="86"/>
      <c r="C181" s="87" t="e">
        <v>#N/A</v>
      </c>
      <c r="D181" s="87" t="e">
        <v>#N/A</v>
      </c>
      <c r="E181" s="86"/>
      <c r="F181" s="89"/>
      <c r="G181" s="89"/>
      <c r="H181" s="89"/>
      <c r="I181" s="88"/>
      <c r="J181" s="88"/>
      <c r="K181" s="88"/>
      <c r="L181" s="88"/>
      <c r="M181" s="88"/>
      <c r="N181" s="88"/>
      <c r="O181" s="86"/>
      <c r="P181" s="86"/>
      <c r="Q181" s="14" t="e">
        <v>#N/A</v>
      </c>
      <c r="R181" s="14" t="e">
        <v>#N/A</v>
      </c>
      <c r="S181" s="14"/>
      <c r="T181" s="90"/>
      <c r="U181" s="14"/>
      <c r="V181" s="14"/>
      <c r="W181" s="14"/>
      <c r="X181" s="86"/>
      <c r="Y181" s="59">
        <f ca="1">Table25[[#This Row],[End Date]]+2-TODAY()</f>
        <v>-45816</v>
      </c>
      <c r="Z181" s="14">
        <f>IF(ISBLANK(Table25[[#This Row],[Roster Received By]]),1,0)</f>
        <v>1</v>
      </c>
      <c r="AA181" s="14">
        <f ca="1">IF(Table25[[#This Row],[Start Date]]&gt;TODAY(),1,)</f>
        <v>0</v>
      </c>
    </row>
    <row r="182" spans="1:27" s="15" customFormat="1" ht="14.25" hidden="1" customHeight="1" x14ac:dyDescent="0.25">
      <c r="A182" s="52"/>
      <c r="B182" s="86"/>
      <c r="C182" s="87" t="e">
        <v>#N/A</v>
      </c>
      <c r="D182" s="87" t="e">
        <v>#N/A</v>
      </c>
      <c r="E182" s="86"/>
      <c r="F182" s="89"/>
      <c r="G182" s="89"/>
      <c r="H182" s="92"/>
      <c r="I182" s="92"/>
      <c r="J182" s="89"/>
      <c r="K182" s="89"/>
      <c r="L182" s="89"/>
      <c r="M182" s="89"/>
      <c r="N182" s="89"/>
      <c r="O182" s="86"/>
      <c r="P182" s="86"/>
      <c r="Q182" s="14" t="e">
        <v>#N/A</v>
      </c>
      <c r="R182" s="14" t="e">
        <v>#N/A</v>
      </c>
      <c r="S182" s="14"/>
      <c r="T182" s="90"/>
      <c r="U182" s="14"/>
      <c r="V182" s="14"/>
      <c r="W182" s="14"/>
      <c r="X182" s="86"/>
      <c r="Y182" s="59">
        <f ca="1">Table25[[#This Row],[End Date]]+2-TODAY()</f>
        <v>-45816</v>
      </c>
      <c r="Z182" s="14">
        <f>IF(ISBLANK(Table25[[#This Row],[Roster Received By]]),1,0)</f>
        <v>1</v>
      </c>
      <c r="AA182" s="14">
        <f ca="1">IF(Table25[[#This Row],[Start Date]]&gt;TODAY(),1,)</f>
        <v>0</v>
      </c>
    </row>
    <row r="183" spans="1:27" s="52" customFormat="1" ht="15" hidden="1" customHeight="1" x14ac:dyDescent="0.25">
      <c r="B183" s="86"/>
      <c r="C183" s="87" t="e">
        <v>#N/A</v>
      </c>
      <c r="D183" s="87" t="e">
        <v>#N/A</v>
      </c>
      <c r="E183" s="86"/>
      <c r="F183" s="97"/>
      <c r="G183" s="97"/>
      <c r="H183" s="92"/>
      <c r="I183" s="92"/>
      <c r="J183" s="89"/>
      <c r="K183" s="89"/>
      <c r="L183" s="89"/>
      <c r="M183" s="89"/>
      <c r="N183" s="89"/>
      <c r="O183" s="86"/>
      <c r="P183" s="86"/>
      <c r="Q183" s="14" t="e">
        <v>#N/A</v>
      </c>
      <c r="R183" s="14" t="e">
        <v>#N/A</v>
      </c>
      <c r="S183" s="14"/>
      <c r="T183" s="90"/>
      <c r="U183" s="14"/>
      <c r="V183" s="14"/>
      <c r="W183" s="14"/>
      <c r="X183" s="86"/>
      <c r="Y183" s="59">
        <f ca="1">Table25[[#This Row],[End Date]]+2-TODAY()</f>
        <v>-45816</v>
      </c>
      <c r="Z183" s="14">
        <f>IF(ISBLANK(Table25[[#This Row],[Roster Received By]]),1,0)</f>
        <v>1</v>
      </c>
      <c r="AA183" s="14">
        <f ca="1">IF(Table25[[#This Row],[Start Date]]&gt;TODAY(),1,)</f>
        <v>0</v>
      </c>
    </row>
    <row r="184" spans="1:27" s="52" customFormat="1" hidden="1" x14ac:dyDescent="0.25">
      <c r="B184" s="86"/>
      <c r="C184" s="87" t="e">
        <v>#N/A</v>
      </c>
      <c r="D184" s="87" t="e">
        <v>#N/A</v>
      </c>
      <c r="E184" s="86"/>
      <c r="F184" s="97"/>
      <c r="G184" s="97"/>
      <c r="H184" s="89"/>
      <c r="I184" s="88"/>
      <c r="J184" s="88"/>
      <c r="K184" s="88"/>
      <c r="L184" s="88"/>
      <c r="M184" s="88"/>
      <c r="N184" s="88"/>
      <c r="O184" s="86"/>
      <c r="P184" s="86"/>
      <c r="Q184" s="14" t="e">
        <v>#N/A</v>
      </c>
      <c r="R184" s="14" t="e">
        <v>#N/A</v>
      </c>
      <c r="S184" s="14"/>
      <c r="T184" s="90"/>
      <c r="U184" s="14"/>
      <c r="V184" s="14"/>
      <c r="W184" s="14"/>
      <c r="X184" s="86"/>
      <c r="Y184" s="59">
        <f ca="1">Table25[[#This Row],[End Date]]+2-TODAY()</f>
        <v>-45816</v>
      </c>
      <c r="Z184" s="14">
        <f>IF(ISBLANK(Table25[[#This Row],[Roster Received By]]),1,0)</f>
        <v>1</v>
      </c>
      <c r="AA184" s="14">
        <f ca="1">IF(Table25[[#This Row],[Start Date]]&gt;TODAY(),1,)</f>
        <v>0</v>
      </c>
    </row>
    <row r="185" spans="1:27" s="52" customFormat="1" hidden="1" x14ac:dyDescent="0.25">
      <c r="B185" s="86"/>
      <c r="C185" s="87" t="e">
        <v>#N/A</v>
      </c>
      <c r="D185" s="87" t="e">
        <v>#N/A</v>
      </c>
      <c r="E185" s="86"/>
      <c r="F185" s="89"/>
      <c r="G185" s="89"/>
      <c r="H185" s="92"/>
      <c r="I185" s="92"/>
      <c r="J185" s="89"/>
      <c r="K185" s="89"/>
      <c r="L185" s="89"/>
      <c r="M185" s="89"/>
      <c r="N185" s="89"/>
      <c r="O185" s="86"/>
      <c r="P185" s="86"/>
      <c r="Q185" s="14" t="e">
        <v>#N/A</v>
      </c>
      <c r="R185" s="14" t="e">
        <v>#N/A</v>
      </c>
      <c r="S185" s="90"/>
      <c r="T185" s="90"/>
      <c r="U185" s="14"/>
      <c r="V185" s="14"/>
      <c r="W185" s="14"/>
      <c r="X185" s="86"/>
      <c r="Y185" s="59">
        <f ca="1">Table25[[#This Row],[End Date]]+2-TODAY()</f>
        <v>-45816</v>
      </c>
      <c r="Z185" s="14">
        <f>IF(ISBLANK(Table25[[#This Row],[Roster Received By]]),1,0)</f>
        <v>1</v>
      </c>
      <c r="AA185" s="14">
        <f ca="1">IF(Table25[[#This Row],[Start Date]]&gt;TODAY(),1,)</f>
        <v>0</v>
      </c>
    </row>
    <row r="186" spans="1:27" s="52" customFormat="1" hidden="1" x14ac:dyDescent="0.25">
      <c r="B186" s="86"/>
      <c r="C186" s="87" t="e">
        <v>#N/A</v>
      </c>
      <c r="D186" s="87" t="e">
        <v>#N/A</v>
      </c>
      <c r="E186" s="86"/>
      <c r="F186" s="89"/>
      <c r="G186" s="89"/>
      <c r="H186" s="89"/>
      <c r="I186" s="88"/>
      <c r="J186" s="88"/>
      <c r="K186" s="88"/>
      <c r="L186" s="88"/>
      <c r="M186" s="88"/>
      <c r="N186" s="88"/>
      <c r="O186" s="86"/>
      <c r="P186" s="86"/>
      <c r="Q186" s="14" t="e">
        <v>#N/A</v>
      </c>
      <c r="R186" s="14" t="e">
        <v>#N/A</v>
      </c>
      <c r="S186" s="14"/>
      <c r="T186" s="90"/>
      <c r="U186" s="14"/>
      <c r="V186" s="14"/>
      <c r="W186" s="94"/>
      <c r="X186" s="86"/>
      <c r="Y186" s="59">
        <f ca="1">Table25[[#This Row],[End Date]]+2-TODAY()</f>
        <v>-45816</v>
      </c>
      <c r="Z186" s="14">
        <f>IF(ISBLANK(Table25[[#This Row],[Roster Received By]]),1,0)</f>
        <v>1</v>
      </c>
      <c r="AA186" s="14">
        <f ca="1">IF(Table25[[#This Row],[Start Date]]&gt;TODAY(),1,)</f>
        <v>0</v>
      </c>
    </row>
    <row r="187" spans="1:27" s="52" customFormat="1" hidden="1" x14ac:dyDescent="0.25">
      <c r="B187" s="86"/>
      <c r="C187" s="87" t="e">
        <v>#N/A</v>
      </c>
      <c r="D187" s="87" t="e">
        <v>#N/A</v>
      </c>
      <c r="E187" s="86"/>
      <c r="F187" s="89"/>
      <c r="G187" s="89"/>
      <c r="H187" s="89"/>
      <c r="I187" s="88"/>
      <c r="J187" s="88"/>
      <c r="K187" s="88"/>
      <c r="L187" s="88"/>
      <c r="M187" s="88"/>
      <c r="N187" s="88"/>
      <c r="O187" s="86"/>
      <c r="P187" s="86"/>
      <c r="Q187" s="14" t="e">
        <v>#N/A</v>
      </c>
      <c r="R187" s="14" t="e">
        <v>#N/A</v>
      </c>
      <c r="S187" s="14"/>
      <c r="T187" s="90"/>
      <c r="U187" s="14"/>
      <c r="V187" s="14"/>
      <c r="W187" s="90"/>
      <c r="X187" s="86"/>
      <c r="Y187" s="59">
        <f ca="1">Table25[[#This Row],[End Date]]+2-TODAY()</f>
        <v>-45816</v>
      </c>
      <c r="Z187" s="14">
        <f>IF(ISBLANK(Table25[[#This Row],[Roster Received By]]),1,0)</f>
        <v>1</v>
      </c>
      <c r="AA187" s="14">
        <f ca="1">IF(Table25[[#This Row],[Start Date]]&gt;TODAY(),1,)</f>
        <v>0</v>
      </c>
    </row>
    <row r="188" spans="1:27" s="52" customFormat="1" hidden="1" x14ac:dyDescent="0.25">
      <c r="A188" s="54"/>
      <c r="B188" s="86"/>
      <c r="C188" s="87" t="e">
        <v>#N/A</v>
      </c>
      <c r="D188" s="87" t="e">
        <v>#N/A</v>
      </c>
      <c r="E188" s="86"/>
      <c r="F188" s="89"/>
      <c r="G188" s="89"/>
      <c r="H188" s="95"/>
      <c r="I188" s="95"/>
      <c r="J188" s="89"/>
      <c r="K188" s="89"/>
      <c r="L188" s="89"/>
      <c r="M188" s="89"/>
      <c r="N188" s="89"/>
      <c r="O188" s="86"/>
      <c r="P188" s="86"/>
      <c r="Q188" s="14" t="e">
        <v>#N/A</v>
      </c>
      <c r="R188" s="14" t="e">
        <v>#N/A</v>
      </c>
      <c r="S188" s="14"/>
      <c r="T188" s="90"/>
      <c r="U188" s="14"/>
      <c r="V188" s="14"/>
      <c r="W188" s="14"/>
      <c r="X188" s="86"/>
      <c r="Y188" s="59">
        <f ca="1">Table25[[#This Row],[End Date]]+2-TODAY()</f>
        <v>-45816</v>
      </c>
      <c r="Z188" s="14">
        <f>IF(ISBLANK(Table25[[#This Row],[Roster Received By]]),1,0)</f>
        <v>1</v>
      </c>
      <c r="AA188" s="14">
        <f ca="1">IF(Table25[[#This Row],[Start Date]]&gt;TODAY(),1,)</f>
        <v>0</v>
      </c>
    </row>
    <row r="189" spans="1:27" s="52" customFormat="1" hidden="1" x14ac:dyDescent="0.25">
      <c r="B189" s="86"/>
      <c r="C189" s="87" t="e">
        <v>#N/A</v>
      </c>
      <c r="D189" s="87" t="e">
        <v>#N/A</v>
      </c>
      <c r="E189" s="86"/>
      <c r="F189" s="89"/>
      <c r="G189" s="89"/>
      <c r="H189" s="92"/>
      <c r="I189" s="95"/>
      <c r="J189" s="89"/>
      <c r="K189" s="89"/>
      <c r="L189" s="89"/>
      <c r="M189" s="89"/>
      <c r="N189" s="89"/>
      <c r="O189" s="86"/>
      <c r="P189" s="86"/>
      <c r="Q189" s="14" t="e">
        <v>#N/A</v>
      </c>
      <c r="R189" s="14" t="e">
        <v>#N/A</v>
      </c>
      <c r="S189" s="90"/>
      <c r="T189" s="90"/>
      <c r="U189" s="14"/>
      <c r="V189" s="14"/>
      <c r="W189" s="14"/>
      <c r="X189" s="86"/>
      <c r="Y189" s="59">
        <f ca="1">Table25[[#This Row],[End Date]]+2-TODAY()</f>
        <v>-45816</v>
      </c>
      <c r="Z189" s="14">
        <f>IF(ISBLANK(Table25[[#This Row],[Roster Received By]]),1,0)</f>
        <v>1</v>
      </c>
      <c r="AA189" s="14">
        <f ca="1">IF(Table25[[#This Row],[Start Date]]&gt;TODAY(),1,)</f>
        <v>0</v>
      </c>
    </row>
    <row r="190" spans="1:27" s="52" customFormat="1" hidden="1" x14ac:dyDescent="0.25">
      <c r="B190" s="86"/>
      <c r="C190" s="87" t="e">
        <v>#N/A</v>
      </c>
      <c r="D190" s="87" t="e">
        <v>#N/A</v>
      </c>
      <c r="E190" s="111"/>
      <c r="F190" s="56"/>
      <c r="G190" s="56"/>
      <c r="H190" s="88"/>
      <c r="I190" s="88"/>
      <c r="J190" s="88"/>
      <c r="K190" s="88"/>
      <c r="L190" s="88"/>
      <c r="M190" s="88"/>
      <c r="N190" s="88"/>
      <c r="O190" s="86"/>
      <c r="P190" s="86"/>
      <c r="Q190" s="14" t="e">
        <v>#N/A</v>
      </c>
      <c r="R190" s="14" t="e">
        <v>#N/A</v>
      </c>
      <c r="S190" s="14"/>
      <c r="T190" s="90"/>
      <c r="U190" s="14"/>
      <c r="V190" s="14"/>
      <c r="W190" s="14"/>
      <c r="X190" s="86"/>
      <c r="Y190" s="59">
        <f ca="1">Table25[[#This Row],[End Date]]+2-TODAY()</f>
        <v>-45816</v>
      </c>
      <c r="Z190" s="14">
        <f>IF(ISBLANK(Table25[[#This Row],[Roster Received By]]),1,0)</f>
        <v>1</v>
      </c>
      <c r="AA190" s="14">
        <f ca="1">IF(Table25[[#This Row],[Start Date]]&gt;TODAY(),1,)</f>
        <v>0</v>
      </c>
    </row>
    <row r="191" spans="1:27" s="52" customFormat="1" hidden="1" x14ac:dyDescent="0.25">
      <c r="A191" s="86"/>
      <c r="B191" s="86"/>
      <c r="C191" s="87" t="e">
        <v>#N/A</v>
      </c>
      <c r="D191" s="87" t="e">
        <v>#N/A</v>
      </c>
      <c r="E191" s="86"/>
      <c r="F191" s="89"/>
      <c r="G191" s="89"/>
      <c r="H191" s="92"/>
      <c r="I191" s="92"/>
      <c r="J191" s="89"/>
      <c r="K191" s="89"/>
      <c r="L191" s="89"/>
      <c r="M191" s="89"/>
      <c r="N191" s="89"/>
      <c r="O191" s="86"/>
      <c r="P191" s="86"/>
      <c r="Q191" s="14" t="e">
        <v>#N/A</v>
      </c>
      <c r="R191" s="14" t="e">
        <v>#N/A</v>
      </c>
      <c r="S191" s="14"/>
      <c r="T191" s="90"/>
      <c r="U191" s="14"/>
      <c r="V191" s="14"/>
      <c r="W191" s="14"/>
      <c r="X191" s="86"/>
      <c r="Y191" s="59">
        <f ca="1">Table25[[#This Row],[End Date]]+2-TODAY()</f>
        <v>-45816</v>
      </c>
      <c r="Z191" s="14">
        <f>IF(ISBLANK(Table25[[#This Row],[Roster Received By]]),1,0)</f>
        <v>1</v>
      </c>
      <c r="AA191" s="14">
        <f ca="1">IF(Table25[[#This Row],[Start Date]]&gt;TODAY(),1,)</f>
        <v>0</v>
      </c>
    </row>
    <row r="192" spans="1:27" s="52" customFormat="1" hidden="1" x14ac:dyDescent="0.25">
      <c r="A192" s="87"/>
      <c r="B192" s="86"/>
      <c r="C192" s="87" t="e">
        <v>#N/A</v>
      </c>
      <c r="D192" s="87" t="e">
        <v>#N/A</v>
      </c>
      <c r="E192" s="86"/>
      <c r="F192" s="89"/>
      <c r="G192" s="89"/>
      <c r="H192" s="92"/>
      <c r="I192" s="92"/>
      <c r="J192" s="89"/>
      <c r="K192" s="89"/>
      <c r="L192" s="89"/>
      <c r="M192" s="89"/>
      <c r="N192" s="89"/>
      <c r="O192" s="86"/>
      <c r="P192" s="86"/>
      <c r="Q192" s="14" t="e">
        <v>#N/A</v>
      </c>
      <c r="R192" s="14" t="e">
        <v>#N/A</v>
      </c>
      <c r="S192" s="94"/>
      <c r="T192" s="90"/>
      <c r="U192" s="14"/>
      <c r="V192" s="14"/>
      <c r="W192" s="14"/>
      <c r="X192" s="86"/>
      <c r="Y192" s="59">
        <f ca="1">Table25[[#This Row],[End Date]]+2-TODAY()</f>
        <v>-45816</v>
      </c>
      <c r="Z192" s="14">
        <f>IF(ISBLANK(Table25[[#This Row],[Roster Received By]]),1,0)</f>
        <v>1</v>
      </c>
      <c r="AA192" s="14">
        <f ca="1">IF(Table25[[#This Row],[Start Date]]&gt;TODAY(),1,)</f>
        <v>0</v>
      </c>
    </row>
    <row r="193" spans="1:27" s="52" customFormat="1" hidden="1" x14ac:dyDescent="0.25">
      <c r="B193" s="86"/>
      <c r="C193" s="87" t="e">
        <v>#N/A</v>
      </c>
      <c r="D193" s="87" t="e">
        <v>#N/A</v>
      </c>
      <c r="E193" s="86"/>
      <c r="F193" s="89"/>
      <c r="G193" s="89"/>
      <c r="H193" s="92"/>
      <c r="I193" s="92"/>
      <c r="J193" s="89"/>
      <c r="K193" s="89"/>
      <c r="L193" s="89"/>
      <c r="M193" s="89"/>
      <c r="N193" s="89"/>
      <c r="O193" s="86"/>
      <c r="P193" s="86"/>
      <c r="Q193" s="14" t="e">
        <v>#N/A</v>
      </c>
      <c r="R193" s="14" t="e">
        <v>#N/A</v>
      </c>
      <c r="S193" s="14"/>
      <c r="T193" s="90"/>
      <c r="U193" s="14"/>
      <c r="V193" s="14"/>
      <c r="W193" s="14"/>
      <c r="X193" s="86"/>
      <c r="Y193" s="59">
        <f ca="1">Table25[[#This Row],[End Date]]+2-TODAY()</f>
        <v>-45816</v>
      </c>
      <c r="Z193" s="14">
        <f>IF(ISBLANK(Table25[[#This Row],[Roster Received By]]),1,0)</f>
        <v>1</v>
      </c>
      <c r="AA193" s="14">
        <f ca="1">IF(Table25[[#This Row],[Start Date]]&gt;TODAY(),1,)</f>
        <v>0</v>
      </c>
    </row>
    <row r="194" spans="1:27" s="52" customFormat="1" hidden="1" x14ac:dyDescent="0.25">
      <c r="B194" s="86"/>
      <c r="C194" s="87" t="e">
        <v>#N/A</v>
      </c>
      <c r="D194" s="87" t="e">
        <v>#N/A</v>
      </c>
      <c r="E194" s="86"/>
      <c r="F194" s="89"/>
      <c r="G194" s="89"/>
      <c r="H194" s="89"/>
      <c r="I194" s="88"/>
      <c r="J194" s="88"/>
      <c r="K194" s="88"/>
      <c r="L194" s="88"/>
      <c r="M194" s="88"/>
      <c r="N194" s="88"/>
      <c r="O194" s="86"/>
      <c r="P194" s="86"/>
      <c r="Q194" s="14" t="e">
        <v>#N/A</v>
      </c>
      <c r="R194" s="14" t="e">
        <v>#N/A</v>
      </c>
      <c r="S194" s="14"/>
      <c r="T194" s="90"/>
      <c r="U194" s="14"/>
      <c r="V194" s="14"/>
      <c r="W194" s="14"/>
      <c r="X194" s="86"/>
      <c r="Y194" s="59">
        <f ca="1">Table25[[#This Row],[End Date]]+2-TODAY()</f>
        <v>-45816</v>
      </c>
      <c r="Z194" s="14">
        <f>IF(ISBLANK(Table25[[#This Row],[Roster Received By]]),1,0)</f>
        <v>1</v>
      </c>
      <c r="AA194" s="14">
        <f ca="1">IF(Table25[[#This Row],[Start Date]]&gt;TODAY(),1,)</f>
        <v>0</v>
      </c>
    </row>
    <row r="195" spans="1:27" s="52" customFormat="1" hidden="1" x14ac:dyDescent="0.25">
      <c r="B195" s="54"/>
      <c r="C195" s="87" t="e">
        <v>#N/A</v>
      </c>
      <c r="D195" s="87" t="e">
        <v>#N/A</v>
      </c>
      <c r="E195" s="54"/>
      <c r="F195" s="56"/>
      <c r="G195" s="56"/>
      <c r="H195" s="88"/>
      <c r="I195" s="88"/>
      <c r="J195" s="89"/>
      <c r="K195" s="89"/>
      <c r="L195" s="89"/>
      <c r="M195" s="89"/>
      <c r="N195" s="89"/>
      <c r="O195" s="86"/>
      <c r="P195" s="86"/>
      <c r="Q195" s="14" t="e">
        <v>#N/A</v>
      </c>
      <c r="R195" s="14" t="e">
        <v>#N/A</v>
      </c>
      <c r="S195" s="14"/>
      <c r="T195" s="90"/>
      <c r="U195" s="14"/>
      <c r="V195" s="14"/>
      <c r="W195" s="14"/>
      <c r="X195" s="86"/>
      <c r="Y195" s="59">
        <f ca="1">Table25[[#This Row],[End Date]]+2-TODAY()</f>
        <v>-45816</v>
      </c>
      <c r="Z195" s="14">
        <f>IF(ISBLANK(Table25[[#This Row],[Roster Received By]]),1,0)</f>
        <v>1</v>
      </c>
      <c r="AA195" s="14">
        <f ca="1">IF(Table25[[#This Row],[Start Date]]&gt;TODAY(),1,)</f>
        <v>0</v>
      </c>
    </row>
    <row r="196" spans="1:27" s="52" customFormat="1" hidden="1" x14ac:dyDescent="0.25">
      <c r="B196" s="86"/>
      <c r="C196" s="87" t="e">
        <v>#N/A</v>
      </c>
      <c r="D196" s="87" t="e">
        <v>#N/A</v>
      </c>
      <c r="E196" s="86"/>
      <c r="F196" s="89"/>
      <c r="G196" s="89"/>
      <c r="H196" s="89"/>
      <c r="I196" s="88"/>
      <c r="J196" s="88"/>
      <c r="K196" s="88"/>
      <c r="L196" s="88"/>
      <c r="M196" s="88"/>
      <c r="N196" s="88"/>
      <c r="O196" s="86"/>
      <c r="P196" s="86"/>
      <c r="Q196" s="14" t="e">
        <v>#N/A</v>
      </c>
      <c r="R196" s="14" t="e">
        <v>#N/A</v>
      </c>
      <c r="S196" s="14"/>
      <c r="T196" s="90"/>
      <c r="U196" s="14"/>
      <c r="V196" s="14"/>
      <c r="W196" s="14"/>
      <c r="X196" s="86"/>
      <c r="Y196" s="59">
        <f ca="1">Table25[[#This Row],[End Date]]+2-TODAY()</f>
        <v>-45816</v>
      </c>
      <c r="Z196" s="14">
        <f>IF(ISBLANK(Table25[[#This Row],[Roster Received By]]),1,0)</f>
        <v>1</v>
      </c>
      <c r="AA196" s="14">
        <f ca="1">IF(Table25[[#This Row],[Start Date]]&gt;TODAY(),1,)</f>
        <v>0</v>
      </c>
    </row>
    <row r="197" spans="1:27" s="52" customFormat="1" hidden="1" x14ac:dyDescent="0.25">
      <c r="B197" s="86"/>
      <c r="C197" s="87" t="e">
        <v>#N/A</v>
      </c>
      <c r="D197" s="87" t="e">
        <v>#N/A</v>
      </c>
      <c r="E197" s="86"/>
      <c r="F197" s="89"/>
      <c r="G197" s="89"/>
      <c r="H197" s="89"/>
      <c r="I197" s="88"/>
      <c r="J197" s="88"/>
      <c r="K197" s="88"/>
      <c r="L197" s="88"/>
      <c r="M197" s="88"/>
      <c r="N197" s="88"/>
      <c r="O197" s="86"/>
      <c r="P197" s="86"/>
      <c r="Q197" s="14" t="e">
        <v>#N/A</v>
      </c>
      <c r="R197" s="14" t="e">
        <v>#N/A</v>
      </c>
      <c r="S197" s="14"/>
      <c r="T197" s="90"/>
      <c r="U197" s="14"/>
      <c r="V197" s="14"/>
      <c r="W197" s="14"/>
      <c r="X197" s="86"/>
      <c r="Y197" s="59">
        <f ca="1">Table25[[#This Row],[End Date]]+2-TODAY()</f>
        <v>-45816</v>
      </c>
      <c r="Z197" s="14">
        <f>IF(ISBLANK(Table25[[#This Row],[Roster Received By]]),1,0)</f>
        <v>1</v>
      </c>
      <c r="AA197" s="14">
        <f ca="1">IF(Table25[[#This Row],[Start Date]]&gt;TODAY(),1,)</f>
        <v>0</v>
      </c>
    </row>
    <row r="198" spans="1:27" s="52" customFormat="1" hidden="1" x14ac:dyDescent="0.25">
      <c r="B198" s="86"/>
      <c r="C198" s="87" t="e">
        <v>#N/A</v>
      </c>
      <c r="D198" s="87" t="e">
        <v>#N/A</v>
      </c>
      <c r="E198" s="86"/>
      <c r="F198" s="89"/>
      <c r="G198" s="89"/>
      <c r="H198" s="89"/>
      <c r="I198" s="88"/>
      <c r="J198" s="88"/>
      <c r="K198" s="88"/>
      <c r="L198" s="88"/>
      <c r="M198" s="88"/>
      <c r="N198" s="88"/>
      <c r="O198" s="86"/>
      <c r="P198" s="86"/>
      <c r="Q198" s="14" t="e">
        <v>#N/A</v>
      </c>
      <c r="R198" s="14" t="e">
        <v>#N/A</v>
      </c>
      <c r="S198" s="14"/>
      <c r="T198" s="90"/>
      <c r="U198" s="14"/>
      <c r="V198" s="14"/>
      <c r="W198" s="14"/>
      <c r="X198" s="86"/>
      <c r="Y198" s="59">
        <f ca="1">Table25[[#This Row],[End Date]]+2-TODAY()</f>
        <v>-45816</v>
      </c>
      <c r="Z198" s="14">
        <f>IF(ISBLANK(Table25[[#This Row],[Roster Received By]]),1,0)</f>
        <v>1</v>
      </c>
      <c r="AA198" s="14">
        <f ca="1">IF(Table25[[#This Row],[Start Date]]&gt;TODAY(),1,)</f>
        <v>0</v>
      </c>
    </row>
    <row r="199" spans="1:27" s="52" customFormat="1" hidden="1" x14ac:dyDescent="0.25">
      <c r="A199" s="86"/>
      <c r="B199" s="86"/>
      <c r="C199" s="87" t="e">
        <v>#N/A</v>
      </c>
      <c r="D199" s="87" t="e">
        <v>#N/A</v>
      </c>
      <c r="E199" s="54"/>
      <c r="F199" s="89"/>
      <c r="G199" s="89"/>
      <c r="H199" s="92"/>
      <c r="I199" s="92"/>
      <c r="J199" s="89"/>
      <c r="K199" s="89"/>
      <c r="L199" s="89"/>
      <c r="M199" s="89"/>
      <c r="N199" s="89"/>
      <c r="O199" s="86"/>
      <c r="P199" s="86"/>
      <c r="Q199" s="14" t="e">
        <v>#N/A</v>
      </c>
      <c r="R199" s="14" t="e">
        <v>#N/A</v>
      </c>
      <c r="S199" s="14"/>
      <c r="T199" s="90"/>
      <c r="U199" s="14"/>
      <c r="V199" s="14"/>
      <c r="W199" s="14"/>
      <c r="X199" s="86"/>
      <c r="Y199" s="59">
        <f ca="1">Table25[[#This Row],[End Date]]+2-TODAY()</f>
        <v>-45816</v>
      </c>
      <c r="Z199" s="14">
        <f>IF(ISBLANK(Table25[[#This Row],[Roster Received By]]),1,0)</f>
        <v>1</v>
      </c>
      <c r="AA199" s="14">
        <f ca="1">IF(Table25[[#This Row],[Start Date]]&gt;TODAY(),1,)</f>
        <v>0</v>
      </c>
    </row>
    <row r="200" spans="1:27" s="52" customFormat="1" hidden="1" x14ac:dyDescent="0.25">
      <c r="B200" s="86"/>
      <c r="C200" s="87" t="e">
        <v>#N/A</v>
      </c>
      <c r="D200" s="87" t="e">
        <v>#N/A</v>
      </c>
      <c r="E200" s="86"/>
      <c r="F200" s="97"/>
      <c r="G200" s="97"/>
      <c r="H200" s="89"/>
      <c r="I200" s="88"/>
      <c r="J200" s="88"/>
      <c r="K200" s="88"/>
      <c r="L200" s="88"/>
      <c r="M200" s="88"/>
      <c r="N200" s="88"/>
      <c r="O200" s="86"/>
      <c r="P200" s="86"/>
      <c r="Q200" s="14" t="e">
        <v>#N/A</v>
      </c>
      <c r="R200" s="14" t="e">
        <v>#N/A</v>
      </c>
      <c r="S200" s="14"/>
      <c r="T200" s="90"/>
      <c r="U200" s="14"/>
      <c r="V200" s="14"/>
      <c r="W200" s="14"/>
      <c r="X200" s="86"/>
      <c r="Y200" s="59">
        <f ca="1">Table25[[#This Row],[End Date]]+2-TODAY()</f>
        <v>-45816</v>
      </c>
      <c r="Z200" s="14">
        <f>IF(ISBLANK(Table25[[#This Row],[Roster Received By]]),1,0)</f>
        <v>1</v>
      </c>
      <c r="AA200" s="14">
        <f ca="1">IF(Table25[[#This Row],[Start Date]]&gt;TODAY(),1,)</f>
        <v>0</v>
      </c>
    </row>
    <row r="201" spans="1:27" s="52" customFormat="1" hidden="1" x14ac:dyDescent="0.25">
      <c r="B201" s="86"/>
      <c r="C201" s="87" t="e">
        <v>#N/A</v>
      </c>
      <c r="D201" s="87" t="e">
        <v>#N/A</v>
      </c>
      <c r="E201" s="54"/>
      <c r="F201" s="56"/>
      <c r="G201" s="56"/>
      <c r="H201" s="88"/>
      <c r="I201" s="88"/>
      <c r="J201" s="89"/>
      <c r="K201" s="89"/>
      <c r="L201" s="89"/>
      <c r="M201" s="89"/>
      <c r="N201" s="89"/>
      <c r="O201" s="86"/>
      <c r="P201" s="86"/>
      <c r="Q201" s="14" t="e">
        <v>#N/A</v>
      </c>
      <c r="R201" s="14" t="e">
        <v>#N/A</v>
      </c>
      <c r="S201" s="14"/>
      <c r="T201" s="90"/>
      <c r="U201" s="14"/>
      <c r="V201" s="14"/>
      <c r="W201" s="14"/>
      <c r="X201" s="86"/>
      <c r="Y201" s="59">
        <f ca="1">Table25[[#This Row],[End Date]]+2-TODAY()</f>
        <v>-45816</v>
      </c>
      <c r="Z201" s="14">
        <f>IF(ISBLANK(Table25[[#This Row],[Roster Received By]]),1,0)</f>
        <v>1</v>
      </c>
      <c r="AA201" s="14">
        <f ca="1">IF(Table25[[#This Row],[Start Date]]&gt;TODAY(),1,)</f>
        <v>0</v>
      </c>
    </row>
    <row r="202" spans="1:27" s="52" customFormat="1" hidden="1" x14ac:dyDescent="0.25">
      <c r="B202" s="86"/>
      <c r="C202" s="87" t="e">
        <v>#N/A</v>
      </c>
      <c r="D202" s="87" t="e">
        <v>#N/A</v>
      </c>
      <c r="E202" s="86"/>
      <c r="F202" s="56"/>
      <c r="G202" s="89"/>
      <c r="H202" s="89"/>
      <c r="I202" s="88"/>
      <c r="J202" s="88"/>
      <c r="K202" s="88"/>
      <c r="L202" s="88"/>
      <c r="M202" s="88"/>
      <c r="N202" s="88"/>
      <c r="O202" s="86"/>
      <c r="P202" s="86"/>
      <c r="Q202" s="14" t="e">
        <v>#N/A</v>
      </c>
      <c r="R202" s="14" t="e">
        <v>#N/A</v>
      </c>
      <c r="S202" s="14"/>
      <c r="T202" s="90"/>
      <c r="U202" s="14"/>
      <c r="V202" s="14"/>
      <c r="W202" s="14"/>
      <c r="X202" s="86"/>
      <c r="Y202" s="59">
        <f ca="1">Table25[[#This Row],[End Date]]+2-TODAY()</f>
        <v>-45816</v>
      </c>
      <c r="Z202" s="14">
        <f>IF(ISBLANK(Table25[[#This Row],[Roster Received By]]),1,0)</f>
        <v>1</v>
      </c>
      <c r="AA202" s="14">
        <f ca="1">IF(Table25[[#This Row],[Start Date]]&gt;TODAY(),1,)</f>
        <v>0</v>
      </c>
    </row>
    <row r="203" spans="1:27" s="52" customFormat="1" hidden="1" x14ac:dyDescent="0.25">
      <c r="B203" s="86"/>
      <c r="C203" s="87" t="e">
        <v>#N/A</v>
      </c>
      <c r="D203" s="87" t="e">
        <v>#N/A</v>
      </c>
      <c r="E203" s="86"/>
      <c r="F203" s="89"/>
      <c r="G203" s="89"/>
      <c r="H203" s="92"/>
      <c r="I203" s="92"/>
      <c r="J203" s="89"/>
      <c r="K203" s="89"/>
      <c r="L203" s="89"/>
      <c r="M203" s="89"/>
      <c r="N203" s="89"/>
      <c r="O203" s="86"/>
      <c r="P203" s="86"/>
      <c r="Q203" s="14" t="e">
        <v>#N/A</v>
      </c>
      <c r="R203" s="14" t="e">
        <v>#N/A</v>
      </c>
      <c r="S203" s="14"/>
      <c r="T203" s="90"/>
      <c r="U203" s="14"/>
      <c r="V203" s="14"/>
      <c r="W203" s="14"/>
      <c r="X203" s="86"/>
      <c r="Y203" s="59">
        <f ca="1">Table25[[#This Row],[End Date]]+2-TODAY()</f>
        <v>-45816</v>
      </c>
      <c r="Z203" s="14">
        <f>IF(ISBLANK(Table25[[#This Row],[Roster Received By]]),1,0)</f>
        <v>1</v>
      </c>
      <c r="AA203" s="14">
        <f ca="1">IF(Table25[[#This Row],[Start Date]]&gt;TODAY(),1,)</f>
        <v>0</v>
      </c>
    </row>
    <row r="204" spans="1:27" s="52" customFormat="1" hidden="1" x14ac:dyDescent="0.25">
      <c r="B204" s="86"/>
      <c r="C204" s="87" t="e">
        <v>#N/A</v>
      </c>
      <c r="D204" s="87" t="e">
        <v>#N/A</v>
      </c>
      <c r="E204" s="54"/>
      <c r="F204" s="56"/>
      <c r="G204" s="89"/>
      <c r="H204" s="92"/>
      <c r="I204" s="92"/>
      <c r="J204" s="89"/>
      <c r="K204" s="89"/>
      <c r="L204" s="89"/>
      <c r="M204" s="89"/>
      <c r="N204" s="89"/>
      <c r="O204" s="86"/>
      <c r="P204" s="86"/>
      <c r="Q204" s="14" t="e">
        <v>#N/A</v>
      </c>
      <c r="R204" s="14" t="e">
        <v>#N/A</v>
      </c>
      <c r="S204" s="14"/>
      <c r="T204" s="90"/>
      <c r="U204" s="14"/>
      <c r="V204" s="14"/>
      <c r="W204" s="14"/>
      <c r="X204" s="86"/>
      <c r="Y204" s="59">
        <f ca="1">Table25[[#This Row],[End Date]]+2-TODAY()</f>
        <v>-45816</v>
      </c>
      <c r="Z204" s="14">
        <f>IF(ISBLANK(Table25[[#This Row],[Roster Received By]]),1,0)</f>
        <v>1</v>
      </c>
      <c r="AA204" s="14">
        <f ca="1">IF(Table25[[#This Row],[Start Date]]&gt;TODAY(),1,)</f>
        <v>0</v>
      </c>
    </row>
    <row r="205" spans="1:27" s="52" customFormat="1" hidden="1" x14ac:dyDescent="0.25">
      <c r="B205" s="86"/>
      <c r="C205" s="87" t="e">
        <v>#N/A</v>
      </c>
      <c r="D205" s="87" t="e">
        <v>#N/A</v>
      </c>
      <c r="E205" s="86"/>
      <c r="F205" s="56"/>
      <c r="G205" s="56"/>
      <c r="H205" s="56"/>
      <c r="I205" s="88"/>
      <c r="J205" s="88"/>
      <c r="K205" s="88"/>
      <c r="L205" s="88"/>
      <c r="M205" s="88"/>
      <c r="N205" s="88"/>
      <c r="O205" s="86"/>
      <c r="P205" s="86"/>
      <c r="Q205" s="14" t="e">
        <v>#N/A</v>
      </c>
      <c r="R205" s="14" t="e">
        <v>#N/A</v>
      </c>
      <c r="S205" s="14"/>
      <c r="T205" s="90"/>
      <c r="U205" s="14"/>
      <c r="V205" s="14"/>
      <c r="W205" s="14"/>
      <c r="X205" s="86"/>
      <c r="Y205" s="59">
        <f ca="1">Table25[[#This Row],[End Date]]+2-TODAY()</f>
        <v>-45816</v>
      </c>
      <c r="Z205" s="14">
        <f>IF(ISBLANK(Table25[[#This Row],[Roster Received By]]),1,0)</f>
        <v>1</v>
      </c>
      <c r="AA205" s="14">
        <f ca="1">IF(Table25[[#This Row],[Start Date]]&gt;TODAY(),1,)</f>
        <v>0</v>
      </c>
    </row>
    <row r="206" spans="1:27" s="52" customFormat="1" hidden="1" x14ac:dyDescent="0.25">
      <c r="B206" s="86"/>
      <c r="C206" s="87" t="e">
        <v>#N/A</v>
      </c>
      <c r="D206" s="87" t="e">
        <v>#N/A</v>
      </c>
      <c r="E206" s="86"/>
      <c r="F206" s="89"/>
      <c r="G206" s="89"/>
      <c r="H206" s="92"/>
      <c r="I206" s="92"/>
      <c r="J206" s="92"/>
      <c r="K206" s="92"/>
      <c r="L206" s="92"/>
      <c r="M206" s="92"/>
      <c r="N206" s="92"/>
      <c r="O206" s="86"/>
      <c r="P206" s="86"/>
      <c r="Q206" s="14" t="e">
        <v>#N/A</v>
      </c>
      <c r="R206" s="14" t="e">
        <v>#N/A</v>
      </c>
      <c r="S206" s="14"/>
      <c r="T206" s="90"/>
      <c r="U206" s="14"/>
      <c r="V206" s="14"/>
      <c r="W206" s="14"/>
      <c r="X206" s="86"/>
      <c r="Y206" s="59">
        <f ca="1">Table25[[#This Row],[End Date]]+2-TODAY()</f>
        <v>-45816</v>
      </c>
      <c r="Z206" s="14">
        <f>IF(ISBLANK(Table25[[#This Row],[Roster Received By]]),1,0)</f>
        <v>1</v>
      </c>
      <c r="AA206" s="14">
        <f ca="1">IF(Table25[[#This Row],[Start Date]]&gt;TODAY(),1,)</f>
        <v>0</v>
      </c>
    </row>
    <row r="207" spans="1:27" s="52" customFormat="1" hidden="1" x14ac:dyDescent="0.25">
      <c r="B207" s="86"/>
      <c r="C207" s="87" t="e">
        <v>#N/A</v>
      </c>
      <c r="D207" s="87" t="e">
        <v>#N/A</v>
      </c>
      <c r="E207" s="86"/>
      <c r="F207" s="89"/>
      <c r="G207" s="89"/>
      <c r="H207" s="92"/>
      <c r="I207" s="92"/>
      <c r="J207" s="89"/>
      <c r="K207" s="89"/>
      <c r="L207" s="89"/>
      <c r="M207" s="89"/>
      <c r="N207" s="89"/>
      <c r="O207" s="86"/>
      <c r="P207" s="86"/>
      <c r="Q207" s="14" t="e">
        <v>#N/A</v>
      </c>
      <c r="R207" s="14" t="e">
        <v>#N/A</v>
      </c>
      <c r="S207" s="14"/>
      <c r="T207" s="90"/>
      <c r="U207" s="14"/>
      <c r="V207" s="14"/>
      <c r="W207" s="14"/>
      <c r="X207" s="86"/>
      <c r="Y207" s="59">
        <f ca="1">Table25[[#This Row],[End Date]]+2-TODAY()</f>
        <v>-45816</v>
      </c>
      <c r="Z207" s="14">
        <f>IF(ISBLANK(Table25[[#This Row],[Roster Received By]]),1,0)</f>
        <v>1</v>
      </c>
      <c r="AA207" s="14">
        <f ca="1">IF(Table25[[#This Row],[Start Date]]&gt;TODAY(),1,)</f>
        <v>0</v>
      </c>
    </row>
    <row r="208" spans="1:27" s="52" customFormat="1" hidden="1" x14ac:dyDescent="0.25">
      <c r="B208" s="86"/>
      <c r="C208" s="87" t="e">
        <v>#N/A</v>
      </c>
      <c r="D208" s="87" t="e">
        <v>#N/A</v>
      </c>
      <c r="E208" s="54"/>
      <c r="F208" s="89"/>
      <c r="G208" s="89"/>
      <c r="H208" s="92"/>
      <c r="I208" s="92"/>
      <c r="J208" s="89"/>
      <c r="K208" s="89"/>
      <c r="L208" s="89"/>
      <c r="M208" s="89"/>
      <c r="N208" s="89"/>
      <c r="O208" s="86"/>
      <c r="P208" s="86"/>
      <c r="Q208" s="14" t="e">
        <v>#N/A</v>
      </c>
      <c r="R208" s="14" t="e">
        <v>#N/A</v>
      </c>
      <c r="S208" s="14"/>
      <c r="T208" s="90"/>
      <c r="U208" s="14"/>
      <c r="V208" s="14"/>
      <c r="W208" s="87"/>
      <c r="X208" s="86"/>
      <c r="Y208" s="59">
        <f ca="1">Table25[[#This Row],[End Date]]+2-TODAY()</f>
        <v>-45816</v>
      </c>
      <c r="Z208" s="14">
        <f>IF(ISBLANK(Table25[[#This Row],[Roster Received By]]),1,0)</f>
        <v>1</v>
      </c>
      <c r="AA208" s="14">
        <f ca="1">IF(Table25[[#This Row],[Start Date]]&gt;TODAY(),1,)</f>
        <v>0</v>
      </c>
    </row>
    <row r="209" spans="2:27" s="52" customFormat="1" hidden="1" x14ac:dyDescent="0.25">
      <c r="B209" s="86"/>
      <c r="C209" s="87" t="e">
        <v>#N/A</v>
      </c>
      <c r="D209" s="87" t="e">
        <v>#N/A</v>
      </c>
      <c r="E209" s="54"/>
      <c r="F209" s="89"/>
      <c r="G209" s="89"/>
      <c r="H209" s="92"/>
      <c r="I209" s="92"/>
      <c r="J209" s="89"/>
      <c r="K209" s="89"/>
      <c r="L209" s="89"/>
      <c r="M209" s="89"/>
      <c r="N209" s="89"/>
      <c r="O209" s="86"/>
      <c r="P209" s="86"/>
      <c r="Q209" s="14" t="e">
        <v>#N/A</v>
      </c>
      <c r="R209" s="14" t="e">
        <v>#N/A</v>
      </c>
      <c r="S209" s="14"/>
      <c r="T209" s="90"/>
      <c r="U209" s="14"/>
      <c r="V209" s="14"/>
      <c r="W209" s="14"/>
      <c r="X209" s="86"/>
      <c r="Y209" s="59">
        <f ca="1">Table25[[#This Row],[End Date]]+2-TODAY()</f>
        <v>-45816</v>
      </c>
      <c r="Z209" s="14">
        <f>IF(ISBLANK(Table25[[#This Row],[Roster Received By]]),1,0)</f>
        <v>1</v>
      </c>
      <c r="AA209" s="14">
        <f ca="1">IF(Table25[[#This Row],[Start Date]]&gt;TODAY(),1,)</f>
        <v>0</v>
      </c>
    </row>
    <row r="210" spans="2:27" s="52" customFormat="1" hidden="1" x14ac:dyDescent="0.25">
      <c r="B210" s="86"/>
      <c r="C210" s="87" t="e">
        <v>#N/A</v>
      </c>
      <c r="D210" s="87" t="e">
        <v>#N/A</v>
      </c>
      <c r="E210" s="54"/>
      <c r="F210" s="89"/>
      <c r="G210" s="89"/>
      <c r="H210" s="92"/>
      <c r="I210" s="92"/>
      <c r="J210" s="89"/>
      <c r="K210" s="89"/>
      <c r="L210" s="89"/>
      <c r="M210" s="89"/>
      <c r="N210" s="89"/>
      <c r="O210" s="86"/>
      <c r="P210" s="86"/>
      <c r="Q210" s="14" t="e">
        <v>#N/A</v>
      </c>
      <c r="R210" s="14" t="e">
        <v>#N/A</v>
      </c>
      <c r="S210" s="14"/>
      <c r="T210" s="90"/>
      <c r="U210" s="14"/>
      <c r="V210" s="14"/>
      <c r="W210" s="14"/>
      <c r="X210" s="86"/>
      <c r="Y210" s="59">
        <f ca="1">Table25[[#This Row],[End Date]]+2-TODAY()</f>
        <v>-45816</v>
      </c>
      <c r="Z210" s="14">
        <f>IF(ISBLANK(Table25[[#This Row],[Roster Received By]]),1,0)</f>
        <v>1</v>
      </c>
      <c r="AA210" s="14">
        <f ca="1">IF(Table25[[#This Row],[Start Date]]&gt;TODAY(),1,)</f>
        <v>0</v>
      </c>
    </row>
    <row r="211" spans="2:27" s="52" customFormat="1" hidden="1" x14ac:dyDescent="0.25">
      <c r="B211" s="86"/>
      <c r="C211" s="87" t="e">
        <v>#N/A</v>
      </c>
      <c r="D211" s="87" t="e">
        <v>#N/A</v>
      </c>
      <c r="E211" s="86"/>
      <c r="F211" s="89"/>
      <c r="G211" s="89"/>
      <c r="H211" s="92"/>
      <c r="I211" s="92"/>
      <c r="J211" s="89"/>
      <c r="K211" s="89"/>
      <c r="L211" s="89"/>
      <c r="M211" s="89"/>
      <c r="N211" s="89"/>
      <c r="O211" s="86"/>
      <c r="P211" s="86"/>
      <c r="Q211" s="14" t="e">
        <v>#N/A</v>
      </c>
      <c r="R211" s="14" t="e">
        <v>#N/A</v>
      </c>
      <c r="S211" s="14"/>
      <c r="T211" s="90"/>
      <c r="U211" s="14"/>
      <c r="V211" s="14"/>
      <c r="W211" s="14"/>
      <c r="X211" s="86"/>
      <c r="Y211" s="59">
        <f ca="1">Table25[[#This Row],[End Date]]+2-TODAY()</f>
        <v>-45816</v>
      </c>
      <c r="Z211" s="14">
        <f>IF(ISBLANK(Table25[[#This Row],[Roster Received By]]),1,0)</f>
        <v>1</v>
      </c>
      <c r="AA211" s="14">
        <f ca="1">IF(Table25[[#This Row],[Start Date]]&gt;TODAY(),1,)</f>
        <v>0</v>
      </c>
    </row>
    <row r="212" spans="2:27" s="52" customFormat="1" hidden="1" x14ac:dyDescent="0.25">
      <c r="B212" s="86"/>
      <c r="C212" s="87" t="e">
        <v>#N/A</v>
      </c>
      <c r="D212" s="87" t="e">
        <v>#N/A</v>
      </c>
      <c r="E212" s="86"/>
      <c r="F212" s="89"/>
      <c r="G212" s="89"/>
      <c r="H212" s="92"/>
      <c r="I212" s="92"/>
      <c r="J212" s="89"/>
      <c r="K212" s="89"/>
      <c r="L212" s="89"/>
      <c r="M212" s="89"/>
      <c r="N212" s="89"/>
      <c r="O212" s="86"/>
      <c r="P212" s="86"/>
      <c r="Q212" s="14" t="e">
        <v>#N/A</v>
      </c>
      <c r="R212" s="14" t="e">
        <v>#N/A</v>
      </c>
      <c r="S212" s="14"/>
      <c r="T212" s="90"/>
      <c r="U212" s="14"/>
      <c r="V212" s="14"/>
      <c r="W212" s="14"/>
      <c r="X212" s="86"/>
      <c r="Y212" s="59">
        <f ca="1">Table25[[#This Row],[End Date]]+2-TODAY()</f>
        <v>-45816</v>
      </c>
      <c r="Z212" s="14">
        <f>IF(ISBLANK(Table25[[#This Row],[Roster Received By]]),1,0)</f>
        <v>1</v>
      </c>
      <c r="AA212" s="14">
        <f ca="1">IF(Table25[[#This Row],[Start Date]]&gt;TODAY(),1,)</f>
        <v>0</v>
      </c>
    </row>
    <row r="213" spans="2:27" s="52" customFormat="1" hidden="1" x14ac:dyDescent="0.25">
      <c r="B213" s="86"/>
      <c r="C213" s="87" t="e">
        <v>#N/A</v>
      </c>
      <c r="D213" s="87" t="e">
        <v>#N/A</v>
      </c>
      <c r="E213" s="86"/>
      <c r="F213" s="89"/>
      <c r="G213" s="89"/>
      <c r="H213" s="92"/>
      <c r="I213" s="92"/>
      <c r="J213" s="89"/>
      <c r="K213" s="89"/>
      <c r="L213" s="89"/>
      <c r="M213" s="89"/>
      <c r="N213" s="89"/>
      <c r="O213" s="86"/>
      <c r="P213" s="86"/>
      <c r="Q213" s="14" t="e">
        <v>#N/A</v>
      </c>
      <c r="R213" s="14" t="e">
        <v>#N/A</v>
      </c>
      <c r="S213" s="90"/>
      <c r="T213" s="90"/>
      <c r="U213" s="14"/>
      <c r="V213" s="14"/>
      <c r="W213" s="14"/>
      <c r="X213" s="86"/>
      <c r="Y213" s="59">
        <f ca="1">Table25[[#This Row],[End Date]]+2-TODAY()</f>
        <v>-45816</v>
      </c>
      <c r="Z213" s="14">
        <f>IF(ISBLANK(Table25[[#This Row],[Roster Received By]]),1,0)</f>
        <v>1</v>
      </c>
      <c r="AA213" s="14">
        <f ca="1">IF(Table25[[#This Row],[Start Date]]&gt;TODAY(),1,)</f>
        <v>0</v>
      </c>
    </row>
    <row r="214" spans="2:27" s="52" customFormat="1" hidden="1" x14ac:dyDescent="0.25">
      <c r="B214" s="86"/>
      <c r="C214" s="87" t="e">
        <v>#N/A</v>
      </c>
      <c r="D214" s="87" t="e">
        <v>#N/A</v>
      </c>
      <c r="E214" s="86"/>
      <c r="F214" s="89"/>
      <c r="G214" s="89"/>
      <c r="H214" s="92"/>
      <c r="I214" s="92"/>
      <c r="J214" s="92"/>
      <c r="K214" s="92"/>
      <c r="L214" s="92"/>
      <c r="M214" s="92"/>
      <c r="N214" s="89"/>
      <c r="O214" s="86"/>
      <c r="P214" s="86"/>
      <c r="Q214" s="14" t="e">
        <v>#N/A</v>
      </c>
      <c r="R214" s="14" t="e">
        <v>#N/A</v>
      </c>
      <c r="S214" s="14"/>
      <c r="T214" s="90"/>
      <c r="U214" s="14"/>
      <c r="V214" s="14"/>
      <c r="W214" s="14"/>
      <c r="X214" s="86"/>
      <c r="Y214" s="59">
        <f ca="1">Table25[[#This Row],[End Date]]+2-TODAY()</f>
        <v>-45816</v>
      </c>
      <c r="Z214" s="14">
        <f>IF(ISBLANK(Table25[[#This Row],[Roster Received By]]),1,0)</f>
        <v>1</v>
      </c>
      <c r="AA214" s="14">
        <f ca="1">IF(Table25[[#This Row],[Start Date]]&gt;TODAY(),1,)</f>
        <v>0</v>
      </c>
    </row>
    <row r="215" spans="2:27" s="52" customFormat="1" hidden="1" x14ac:dyDescent="0.25">
      <c r="B215" s="86"/>
      <c r="C215" s="87" t="e">
        <v>#N/A</v>
      </c>
      <c r="D215" s="87" t="e">
        <v>#N/A</v>
      </c>
      <c r="E215" s="86"/>
      <c r="F215" s="89"/>
      <c r="G215" s="89"/>
      <c r="H215" s="89"/>
      <c r="I215" s="88"/>
      <c r="J215" s="88"/>
      <c r="K215" s="88"/>
      <c r="L215" s="88"/>
      <c r="M215" s="88"/>
      <c r="N215" s="88"/>
      <c r="O215" s="86"/>
      <c r="P215" s="86"/>
      <c r="Q215" s="14" t="e">
        <v>#N/A</v>
      </c>
      <c r="R215" s="14" t="e">
        <v>#N/A</v>
      </c>
      <c r="S215" s="14"/>
      <c r="T215" s="90"/>
      <c r="U215" s="14"/>
      <c r="V215" s="14"/>
      <c r="W215" s="14"/>
      <c r="X215" s="86"/>
      <c r="Y215" s="59">
        <f ca="1">Table25[[#This Row],[End Date]]+2-TODAY()</f>
        <v>-45816</v>
      </c>
      <c r="Z215" s="14">
        <f>IF(ISBLANK(Table25[[#This Row],[Roster Received By]]),1,0)</f>
        <v>1</v>
      </c>
      <c r="AA215" s="14">
        <f ca="1">IF(Table25[[#This Row],[Start Date]]&gt;TODAY(),1,)</f>
        <v>0</v>
      </c>
    </row>
    <row r="216" spans="2:27" s="52" customFormat="1" hidden="1" x14ac:dyDescent="0.25">
      <c r="B216" s="86"/>
      <c r="C216" s="87" t="e">
        <v>#N/A</v>
      </c>
      <c r="D216" s="87" t="e">
        <v>#N/A</v>
      </c>
      <c r="E216" s="54"/>
      <c r="F216" s="89"/>
      <c r="G216" s="89"/>
      <c r="H216" s="92"/>
      <c r="I216" s="92"/>
      <c r="J216" s="89"/>
      <c r="K216" s="89"/>
      <c r="L216" s="89"/>
      <c r="M216" s="89"/>
      <c r="N216" s="89"/>
      <c r="O216" s="86"/>
      <c r="P216" s="86"/>
      <c r="Q216" s="14" t="e">
        <v>#N/A</v>
      </c>
      <c r="R216" s="14" t="e">
        <v>#N/A</v>
      </c>
      <c r="S216" s="14"/>
      <c r="T216" s="90"/>
      <c r="U216" s="14"/>
      <c r="V216" s="14"/>
      <c r="W216" s="14"/>
      <c r="X216" s="86"/>
      <c r="Y216" s="59">
        <f ca="1">Table25[[#This Row],[End Date]]+2-TODAY()</f>
        <v>-45816</v>
      </c>
      <c r="Z216" s="14">
        <f>IF(ISBLANK(Table25[[#This Row],[Roster Received By]]),1,0)</f>
        <v>1</v>
      </c>
      <c r="AA216" s="14">
        <f ca="1">IF(Table25[[#This Row],[Start Date]]&gt;TODAY(),1,)</f>
        <v>0</v>
      </c>
    </row>
    <row r="217" spans="2:27" s="52" customFormat="1" hidden="1" x14ac:dyDescent="0.25">
      <c r="B217" s="86"/>
      <c r="C217" s="87" t="e">
        <v>#N/A</v>
      </c>
      <c r="D217" s="87" t="e">
        <v>#N/A</v>
      </c>
      <c r="E217" s="86"/>
      <c r="F217" s="89"/>
      <c r="G217" s="89"/>
      <c r="H217" s="92"/>
      <c r="I217" s="92"/>
      <c r="J217" s="121"/>
      <c r="K217" s="121"/>
      <c r="L217" s="121"/>
      <c r="M217" s="121"/>
      <c r="N217" s="89"/>
      <c r="O217" s="86"/>
      <c r="P217" s="86"/>
      <c r="Q217" s="14" t="e">
        <v>#N/A</v>
      </c>
      <c r="R217" s="14" t="e">
        <v>#N/A</v>
      </c>
      <c r="S217" s="14"/>
      <c r="T217" s="90"/>
      <c r="U217" s="14"/>
      <c r="V217" s="14"/>
      <c r="W217" s="94"/>
      <c r="X217" s="86"/>
      <c r="Y217" s="59">
        <f ca="1">Table25[[#This Row],[End Date]]+2-TODAY()</f>
        <v>-45816</v>
      </c>
      <c r="Z217" s="14">
        <f>IF(ISBLANK(Table25[[#This Row],[Roster Received By]]),1,0)</f>
        <v>1</v>
      </c>
      <c r="AA217" s="14">
        <f ca="1">IF(Table25[[#This Row],[Start Date]]&gt;TODAY(),1,)</f>
        <v>0</v>
      </c>
    </row>
    <row r="218" spans="2:27" s="52" customFormat="1" hidden="1" x14ac:dyDescent="0.25">
      <c r="B218" s="86"/>
      <c r="C218" s="87" t="e">
        <v>#N/A</v>
      </c>
      <c r="D218" s="87" t="e">
        <v>#N/A</v>
      </c>
      <c r="E218" s="86"/>
      <c r="F218" s="89"/>
      <c r="G218" s="89"/>
      <c r="H218" s="89"/>
      <c r="I218" s="88"/>
      <c r="J218" s="88"/>
      <c r="K218" s="88"/>
      <c r="L218" s="88"/>
      <c r="M218" s="88"/>
      <c r="N218" s="88"/>
      <c r="O218" s="86"/>
      <c r="P218" s="86"/>
      <c r="Q218" s="14" t="e">
        <v>#N/A</v>
      </c>
      <c r="R218" s="14" t="e">
        <v>#N/A</v>
      </c>
      <c r="S218" s="14"/>
      <c r="T218" s="90"/>
      <c r="U218" s="14"/>
      <c r="V218" s="14"/>
      <c r="W218" s="14"/>
      <c r="X218" s="86"/>
      <c r="Y218" s="59">
        <f ca="1">Table25[[#This Row],[End Date]]+2-TODAY()</f>
        <v>-45816</v>
      </c>
      <c r="Z218" s="14">
        <f>IF(ISBLANK(Table25[[#This Row],[Roster Received By]]),1,0)</f>
        <v>1</v>
      </c>
      <c r="AA218" s="14">
        <f ca="1">IF(Table25[[#This Row],[Start Date]]&gt;TODAY(),1,)</f>
        <v>0</v>
      </c>
    </row>
    <row r="219" spans="2:27" s="52" customFormat="1" hidden="1" x14ac:dyDescent="0.25">
      <c r="B219" s="86"/>
      <c r="C219" s="87" t="e">
        <v>#N/A</v>
      </c>
      <c r="D219" s="87" t="e">
        <v>#N/A</v>
      </c>
      <c r="E219" s="86"/>
      <c r="F219" s="89"/>
      <c r="G219" s="89"/>
      <c r="H219" s="89"/>
      <c r="I219" s="88"/>
      <c r="J219" s="88"/>
      <c r="K219" s="88"/>
      <c r="L219" s="88"/>
      <c r="M219" s="88"/>
      <c r="N219" s="88"/>
      <c r="O219" s="86"/>
      <c r="P219" s="86"/>
      <c r="Q219" s="14" t="e">
        <v>#N/A</v>
      </c>
      <c r="R219" s="14" t="e">
        <v>#N/A</v>
      </c>
      <c r="S219" s="14"/>
      <c r="T219" s="90"/>
      <c r="U219" s="14"/>
      <c r="V219" s="14"/>
      <c r="W219" s="14"/>
      <c r="X219" s="86"/>
      <c r="Y219" s="59">
        <f ca="1">Table25[[#This Row],[End Date]]+2-TODAY()</f>
        <v>-45816</v>
      </c>
      <c r="Z219" s="14">
        <f>IF(ISBLANK(Table25[[#This Row],[Roster Received By]]),1,0)</f>
        <v>1</v>
      </c>
      <c r="AA219" s="14">
        <f ca="1">IF(Table25[[#This Row],[Start Date]]&gt;TODAY(),1,)</f>
        <v>0</v>
      </c>
    </row>
    <row r="220" spans="2:27" s="52" customFormat="1" hidden="1" x14ac:dyDescent="0.25">
      <c r="B220" s="86"/>
      <c r="C220" s="87" t="e">
        <v>#N/A</v>
      </c>
      <c r="D220" s="87" t="e">
        <v>#N/A</v>
      </c>
      <c r="E220" s="86"/>
      <c r="F220" s="89"/>
      <c r="G220" s="89"/>
      <c r="H220" s="89"/>
      <c r="I220" s="88"/>
      <c r="J220" s="88"/>
      <c r="K220" s="88"/>
      <c r="L220" s="88"/>
      <c r="M220" s="88"/>
      <c r="N220" s="88"/>
      <c r="O220" s="86"/>
      <c r="P220" s="86"/>
      <c r="Q220" s="14" t="e">
        <v>#N/A</v>
      </c>
      <c r="R220" s="14" t="e">
        <v>#N/A</v>
      </c>
      <c r="S220" s="14"/>
      <c r="T220" s="90"/>
      <c r="U220" s="14"/>
      <c r="V220" s="14"/>
      <c r="W220" s="14"/>
      <c r="X220" s="86"/>
      <c r="Y220" s="59">
        <f ca="1">Table25[[#This Row],[End Date]]+2-TODAY()</f>
        <v>-45816</v>
      </c>
      <c r="Z220" s="14">
        <f>IF(ISBLANK(Table25[[#This Row],[Roster Received By]]),1,0)</f>
        <v>1</v>
      </c>
      <c r="AA220" s="14">
        <f ca="1">IF(Table25[[#This Row],[Start Date]]&gt;TODAY(),1,)</f>
        <v>0</v>
      </c>
    </row>
    <row r="221" spans="2:27" s="52" customFormat="1" hidden="1" x14ac:dyDescent="0.25">
      <c r="B221" s="86"/>
      <c r="C221" s="87" t="e">
        <v>#N/A</v>
      </c>
      <c r="D221" s="87" t="e">
        <v>#N/A</v>
      </c>
      <c r="E221" s="54"/>
      <c r="F221" s="89"/>
      <c r="G221" s="89"/>
      <c r="H221" s="95"/>
      <c r="I221" s="95"/>
      <c r="J221" s="89"/>
      <c r="K221" s="89"/>
      <c r="L221" s="89"/>
      <c r="M221" s="89"/>
      <c r="N221" s="89"/>
      <c r="O221" s="86"/>
      <c r="P221" s="86"/>
      <c r="Q221" s="14" t="e">
        <v>#N/A</v>
      </c>
      <c r="R221" s="14" t="e">
        <v>#N/A</v>
      </c>
      <c r="S221" s="14"/>
      <c r="T221" s="90"/>
      <c r="U221" s="14"/>
      <c r="V221" s="14"/>
      <c r="W221" s="90"/>
      <c r="X221" s="86"/>
      <c r="Y221" s="59">
        <f ca="1">Table25[[#This Row],[End Date]]+2-TODAY()</f>
        <v>-45816</v>
      </c>
      <c r="Z221" s="14">
        <f>IF(ISBLANK(Table25[[#This Row],[Roster Received By]]),1,0)</f>
        <v>1</v>
      </c>
      <c r="AA221" s="14">
        <f ca="1">IF(Table25[[#This Row],[Start Date]]&gt;TODAY(),1,)</f>
        <v>0</v>
      </c>
    </row>
    <row r="222" spans="2:27" s="52" customFormat="1" hidden="1" x14ac:dyDescent="0.25">
      <c r="B222" s="86"/>
      <c r="C222" s="87" t="e">
        <v>#N/A</v>
      </c>
      <c r="D222" s="87" t="e">
        <v>#N/A</v>
      </c>
      <c r="E222" s="86"/>
      <c r="F222" s="89"/>
      <c r="G222" s="89"/>
      <c r="H222" s="89"/>
      <c r="I222" s="88"/>
      <c r="J222" s="88"/>
      <c r="K222" s="88"/>
      <c r="L222" s="88"/>
      <c r="M222" s="88"/>
      <c r="N222" s="88"/>
      <c r="O222" s="86"/>
      <c r="P222" s="86"/>
      <c r="Q222" s="14" t="e">
        <v>#N/A</v>
      </c>
      <c r="R222" s="14" t="e">
        <v>#N/A</v>
      </c>
      <c r="S222" s="14"/>
      <c r="T222" s="90"/>
      <c r="U222" s="14"/>
      <c r="V222" s="14"/>
      <c r="W222" s="14"/>
      <c r="X222" s="86"/>
      <c r="Y222" s="59">
        <f ca="1">Table25[[#This Row],[End Date]]+2-TODAY()</f>
        <v>-45816</v>
      </c>
      <c r="Z222" s="14">
        <f>IF(ISBLANK(Table25[[#This Row],[Roster Received By]]),1,0)</f>
        <v>1</v>
      </c>
      <c r="AA222" s="14">
        <f ca="1">IF(Table25[[#This Row],[Start Date]]&gt;TODAY(),1,)</f>
        <v>0</v>
      </c>
    </row>
    <row r="223" spans="2:27" s="52" customFormat="1" hidden="1" x14ac:dyDescent="0.25">
      <c r="B223" s="86"/>
      <c r="C223" s="87" t="e">
        <v>#N/A</v>
      </c>
      <c r="D223" s="87" t="e">
        <v>#N/A</v>
      </c>
      <c r="E223" s="86"/>
      <c r="F223" s="89"/>
      <c r="G223" s="89"/>
      <c r="H223" s="89"/>
      <c r="I223" s="88"/>
      <c r="J223" s="88"/>
      <c r="K223" s="88"/>
      <c r="L223" s="88"/>
      <c r="M223" s="88"/>
      <c r="N223" s="88"/>
      <c r="O223" s="86"/>
      <c r="P223" s="86"/>
      <c r="Q223" s="14" t="e">
        <v>#N/A</v>
      </c>
      <c r="R223" s="14" t="e">
        <v>#N/A</v>
      </c>
      <c r="S223" s="14"/>
      <c r="T223" s="90"/>
      <c r="U223" s="14"/>
      <c r="V223" s="14"/>
      <c r="W223" s="91"/>
      <c r="X223" s="86"/>
      <c r="Y223" s="59">
        <f ca="1">Table25[[#This Row],[End Date]]+2-TODAY()</f>
        <v>-45816</v>
      </c>
      <c r="Z223" s="14">
        <f>IF(ISBLANK(Table25[[#This Row],[Roster Received By]]),1,0)</f>
        <v>1</v>
      </c>
      <c r="AA223" s="14">
        <f ca="1">IF(Table25[[#This Row],[Start Date]]&gt;TODAY(),1,)</f>
        <v>0</v>
      </c>
    </row>
    <row r="224" spans="2:27" s="52" customFormat="1" hidden="1" x14ac:dyDescent="0.25">
      <c r="B224" s="86"/>
      <c r="C224" s="87" t="e">
        <v>#N/A</v>
      </c>
      <c r="D224" s="87" t="e">
        <v>#N/A</v>
      </c>
      <c r="E224" s="54"/>
      <c r="F224" s="89"/>
      <c r="G224" s="89"/>
      <c r="H224" s="92"/>
      <c r="I224" s="92"/>
      <c r="J224" s="89"/>
      <c r="K224" s="89"/>
      <c r="L224" s="89"/>
      <c r="M224" s="89"/>
      <c r="N224" s="89"/>
      <c r="O224" s="86"/>
      <c r="P224" s="86"/>
      <c r="Q224" s="14" t="e">
        <v>#N/A</v>
      </c>
      <c r="R224" s="14" t="e">
        <v>#N/A</v>
      </c>
      <c r="S224" s="14"/>
      <c r="T224" s="90"/>
      <c r="U224" s="14"/>
      <c r="V224" s="14"/>
      <c r="W224" s="87"/>
      <c r="X224" s="86"/>
      <c r="Y224" s="59">
        <f ca="1">Table25[[#This Row],[End Date]]+2-TODAY()</f>
        <v>-45816</v>
      </c>
      <c r="Z224" s="14">
        <f>IF(ISBLANK(Table25[[#This Row],[Roster Received By]]),1,0)</f>
        <v>1</v>
      </c>
      <c r="AA224" s="14">
        <f ca="1">IF(Table25[[#This Row],[Start Date]]&gt;TODAY(),1,)</f>
        <v>0</v>
      </c>
    </row>
    <row r="225" spans="1:27" s="100" customFormat="1" hidden="1" x14ac:dyDescent="0.25">
      <c r="A225" s="52"/>
      <c r="B225" s="86"/>
      <c r="C225" s="87" t="e">
        <v>#N/A</v>
      </c>
      <c r="D225" s="87" t="e">
        <v>#N/A</v>
      </c>
      <c r="E225" s="86"/>
      <c r="F225" s="89"/>
      <c r="G225" s="89"/>
      <c r="H225" s="89"/>
      <c r="I225" s="88"/>
      <c r="J225" s="88"/>
      <c r="K225" s="88"/>
      <c r="L225" s="88"/>
      <c r="M225" s="88"/>
      <c r="N225" s="88"/>
      <c r="O225" s="86"/>
      <c r="P225" s="86"/>
      <c r="Q225" s="14" t="e">
        <v>#N/A</v>
      </c>
      <c r="R225" s="14" t="e">
        <v>#N/A</v>
      </c>
      <c r="S225" s="14"/>
      <c r="T225" s="90"/>
      <c r="U225" s="14"/>
      <c r="V225" s="14"/>
      <c r="W225" s="14"/>
      <c r="X225" s="86"/>
      <c r="Y225" s="59">
        <f ca="1">Table25[[#This Row],[End Date]]+2-TODAY()</f>
        <v>-45816</v>
      </c>
      <c r="Z225" s="14">
        <f>IF(ISBLANK(Table25[[#This Row],[Roster Received By]]),1,0)</f>
        <v>1</v>
      </c>
      <c r="AA225" s="14">
        <f ca="1">IF(Table25[[#This Row],[Start Date]]&gt;TODAY(),1,)</f>
        <v>0</v>
      </c>
    </row>
    <row r="226" spans="1:27" s="52" customFormat="1" hidden="1" x14ac:dyDescent="0.25">
      <c r="A226" s="86"/>
      <c r="B226" s="86"/>
      <c r="C226" s="87" t="e">
        <v>#N/A</v>
      </c>
      <c r="D226" s="87" t="e">
        <v>#N/A</v>
      </c>
      <c r="E226" s="54"/>
      <c r="F226" s="89"/>
      <c r="G226" s="89"/>
      <c r="H226" s="92"/>
      <c r="I226" s="92"/>
      <c r="J226" s="89"/>
      <c r="K226" s="89"/>
      <c r="L226" s="89"/>
      <c r="M226" s="89"/>
      <c r="N226" s="89"/>
      <c r="O226" s="86"/>
      <c r="P226" s="86"/>
      <c r="Q226" s="14" t="e">
        <v>#N/A</v>
      </c>
      <c r="R226" s="14" t="e">
        <v>#N/A</v>
      </c>
      <c r="S226" s="14"/>
      <c r="T226" s="90"/>
      <c r="U226" s="14"/>
      <c r="V226" s="14"/>
      <c r="W226" s="87"/>
      <c r="X226" s="86"/>
      <c r="Y226" s="59">
        <f ca="1">Table25[[#This Row],[End Date]]+2-TODAY()</f>
        <v>-45816</v>
      </c>
      <c r="Z226" s="14">
        <f>IF(ISBLANK(Table25[[#This Row],[Roster Received By]]),1,0)</f>
        <v>1</v>
      </c>
      <c r="AA226" s="14">
        <f ca="1">IF(Table25[[#This Row],[Start Date]]&gt;TODAY(),1,)</f>
        <v>0</v>
      </c>
    </row>
    <row r="227" spans="1:27" s="52" customFormat="1" hidden="1" x14ac:dyDescent="0.25">
      <c r="B227" s="86"/>
      <c r="C227" s="87" t="e">
        <v>#N/A</v>
      </c>
      <c r="D227" s="87" t="e">
        <v>#N/A</v>
      </c>
      <c r="E227" s="86"/>
      <c r="F227" s="89"/>
      <c r="G227" s="89"/>
      <c r="H227" s="92"/>
      <c r="I227" s="92"/>
      <c r="J227" s="89"/>
      <c r="K227" s="89"/>
      <c r="L227" s="89"/>
      <c r="M227" s="89"/>
      <c r="N227" s="89"/>
      <c r="O227" s="86"/>
      <c r="P227" s="86"/>
      <c r="Q227" s="14" t="e">
        <v>#N/A</v>
      </c>
      <c r="R227" s="14" t="e">
        <v>#N/A</v>
      </c>
      <c r="S227" s="14"/>
      <c r="T227" s="90"/>
      <c r="U227" s="14"/>
      <c r="V227" s="14"/>
      <c r="W227" s="87"/>
      <c r="X227" s="86"/>
      <c r="Y227" s="59">
        <f ca="1">Table25[[#This Row],[End Date]]+2-TODAY()</f>
        <v>-45816</v>
      </c>
      <c r="Z227" s="14">
        <f>IF(ISBLANK(Table25[[#This Row],[Roster Received By]]),1,0)</f>
        <v>1</v>
      </c>
      <c r="AA227" s="14">
        <f ca="1">IF(Table25[[#This Row],[Start Date]]&gt;TODAY(),1,)</f>
        <v>0</v>
      </c>
    </row>
    <row r="228" spans="1:27" s="52" customFormat="1" hidden="1" x14ac:dyDescent="0.25">
      <c r="B228" s="86"/>
      <c r="C228" s="87" t="e">
        <v>#N/A</v>
      </c>
      <c r="D228" s="87" t="e">
        <v>#N/A</v>
      </c>
      <c r="E228" s="86"/>
      <c r="F228" s="89"/>
      <c r="G228" s="89"/>
      <c r="H228" s="89"/>
      <c r="I228" s="88"/>
      <c r="J228" s="88"/>
      <c r="K228" s="88"/>
      <c r="L228" s="88"/>
      <c r="M228" s="88"/>
      <c r="N228" s="88"/>
      <c r="O228" s="86"/>
      <c r="P228" s="86"/>
      <c r="Q228" s="14" t="e">
        <v>#N/A</v>
      </c>
      <c r="R228" s="14" t="e">
        <v>#N/A</v>
      </c>
      <c r="S228" s="14"/>
      <c r="T228" s="90"/>
      <c r="U228" s="14"/>
      <c r="V228" s="14"/>
      <c r="W228" s="14"/>
      <c r="X228" s="86"/>
      <c r="Y228" s="59">
        <f ca="1">Table25[[#This Row],[End Date]]+2-TODAY()</f>
        <v>-45816</v>
      </c>
      <c r="Z228" s="14">
        <f>IF(ISBLANK(Table25[[#This Row],[Roster Received By]]),1,0)</f>
        <v>1</v>
      </c>
      <c r="AA228" s="14">
        <f ca="1">IF(Table25[[#This Row],[Start Date]]&gt;TODAY(),1,)</f>
        <v>0</v>
      </c>
    </row>
    <row r="229" spans="1:27" s="52" customFormat="1" hidden="1" x14ac:dyDescent="0.25">
      <c r="B229" s="86"/>
      <c r="C229" s="87" t="e">
        <v>#N/A</v>
      </c>
      <c r="D229" s="87" t="e">
        <v>#N/A</v>
      </c>
      <c r="E229" s="86"/>
      <c r="F229" s="89"/>
      <c r="G229" s="89"/>
      <c r="H229" s="92"/>
      <c r="I229" s="92"/>
      <c r="J229" s="92"/>
      <c r="K229" s="92"/>
      <c r="L229" s="92"/>
      <c r="M229" s="92"/>
      <c r="N229" s="89"/>
      <c r="O229" s="86"/>
      <c r="P229" s="86"/>
      <c r="Q229" s="14" t="e">
        <v>#N/A</v>
      </c>
      <c r="R229" s="14" t="e">
        <v>#N/A</v>
      </c>
      <c r="S229" s="14"/>
      <c r="T229" s="90"/>
      <c r="U229" s="14"/>
      <c r="V229" s="14"/>
      <c r="W229" s="14"/>
      <c r="X229" s="86"/>
      <c r="Y229" s="59">
        <f ca="1">Table25[[#This Row],[End Date]]+2-TODAY()</f>
        <v>-45816</v>
      </c>
      <c r="Z229" s="14">
        <f>IF(ISBLANK(Table25[[#This Row],[Roster Received By]]),1,0)</f>
        <v>1</v>
      </c>
      <c r="AA229" s="14">
        <f ca="1">IF(Table25[[#This Row],[Start Date]]&gt;TODAY(),1,)</f>
        <v>0</v>
      </c>
    </row>
    <row r="230" spans="1:27" s="52" customFormat="1" hidden="1" x14ac:dyDescent="0.25">
      <c r="B230" s="86"/>
      <c r="C230" s="87" t="e">
        <v>#N/A</v>
      </c>
      <c r="D230" s="87" t="e">
        <v>#N/A</v>
      </c>
      <c r="E230" s="86"/>
      <c r="F230" s="89"/>
      <c r="G230" s="89"/>
      <c r="H230" s="92"/>
      <c r="I230" s="92"/>
      <c r="J230" s="92"/>
      <c r="K230" s="92"/>
      <c r="L230" s="92"/>
      <c r="M230" s="92"/>
      <c r="N230" s="89"/>
      <c r="O230" s="86"/>
      <c r="P230" s="86"/>
      <c r="Q230" s="14" t="e">
        <v>#N/A</v>
      </c>
      <c r="R230" s="14" t="e">
        <v>#N/A</v>
      </c>
      <c r="S230" s="14"/>
      <c r="T230" s="90"/>
      <c r="U230" s="14"/>
      <c r="V230" s="14"/>
      <c r="W230" s="14"/>
      <c r="X230" s="86"/>
      <c r="Y230" s="59">
        <f ca="1">Table25[[#This Row],[End Date]]+2-TODAY()</f>
        <v>-45816</v>
      </c>
      <c r="Z230" s="14">
        <f>IF(ISBLANK(Table25[[#This Row],[Roster Received By]]),1,0)</f>
        <v>1</v>
      </c>
      <c r="AA230" s="14">
        <f ca="1">IF(Table25[[#This Row],[Start Date]]&gt;TODAY(),1,)</f>
        <v>0</v>
      </c>
    </row>
    <row r="231" spans="1:27" s="52" customFormat="1" hidden="1" x14ac:dyDescent="0.25">
      <c r="B231" s="86"/>
      <c r="C231" s="87" t="e">
        <v>#N/A</v>
      </c>
      <c r="D231" s="87" t="e">
        <v>#N/A</v>
      </c>
      <c r="E231" s="86"/>
      <c r="F231" s="89"/>
      <c r="G231" s="89"/>
      <c r="H231" s="89"/>
      <c r="I231" s="88"/>
      <c r="J231" s="88"/>
      <c r="K231" s="88"/>
      <c r="L231" s="88"/>
      <c r="M231" s="88"/>
      <c r="N231" s="88"/>
      <c r="O231" s="86"/>
      <c r="P231" s="86"/>
      <c r="Q231" s="14" t="e">
        <v>#N/A</v>
      </c>
      <c r="R231" s="14" t="e">
        <v>#N/A</v>
      </c>
      <c r="S231" s="14"/>
      <c r="T231" s="90"/>
      <c r="U231" s="14"/>
      <c r="V231" s="14"/>
      <c r="W231" s="14"/>
      <c r="X231" s="86"/>
      <c r="Y231" s="59">
        <f ca="1">Table25[[#This Row],[End Date]]+2-TODAY()</f>
        <v>-45816</v>
      </c>
      <c r="Z231" s="14">
        <f>IF(ISBLANK(Table25[[#This Row],[Roster Received By]]),1,0)</f>
        <v>1</v>
      </c>
      <c r="AA231" s="14">
        <f ca="1">IF(Table25[[#This Row],[Start Date]]&gt;TODAY(),1,)</f>
        <v>0</v>
      </c>
    </row>
    <row r="232" spans="1:27" s="52" customFormat="1" hidden="1" x14ac:dyDescent="0.25">
      <c r="B232" s="86"/>
      <c r="C232" s="87" t="e">
        <v>#N/A</v>
      </c>
      <c r="D232" s="87" t="e">
        <v>#N/A</v>
      </c>
      <c r="E232" s="86"/>
      <c r="F232" s="89"/>
      <c r="G232" s="89"/>
      <c r="H232" s="89"/>
      <c r="I232" s="88"/>
      <c r="J232" s="88"/>
      <c r="K232" s="88"/>
      <c r="L232" s="88"/>
      <c r="M232" s="88"/>
      <c r="N232" s="88"/>
      <c r="O232" s="86"/>
      <c r="P232" s="86"/>
      <c r="Q232" s="14" t="e">
        <v>#N/A</v>
      </c>
      <c r="R232" s="14" t="e">
        <v>#N/A</v>
      </c>
      <c r="S232" s="14"/>
      <c r="T232" s="90"/>
      <c r="U232" s="14"/>
      <c r="V232" s="14"/>
      <c r="W232" s="14"/>
      <c r="X232" s="86"/>
      <c r="Y232" s="59">
        <f ca="1">Table25[[#This Row],[End Date]]+2-TODAY()</f>
        <v>-45816</v>
      </c>
      <c r="Z232" s="14">
        <f>IF(ISBLANK(Table25[[#This Row],[Roster Received By]]),1,0)</f>
        <v>1</v>
      </c>
      <c r="AA232" s="14">
        <f ca="1">IF(Table25[[#This Row],[Start Date]]&gt;TODAY(),1,)</f>
        <v>0</v>
      </c>
    </row>
    <row r="233" spans="1:27" s="52" customFormat="1" hidden="1" x14ac:dyDescent="0.25">
      <c r="B233" s="86"/>
      <c r="C233" s="87" t="e">
        <v>#N/A</v>
      </c>
      <c r="D233" s="87" t="e">
        <v>#N/A</v>
      </c>
      <c r="E233" s="86"/>
      <c r="F233" s="89"/>
      <c r="G233" s="89"/>
      <c r="H233" s="89"/>
      <c r="I233" s="88"/>
      <c r="J233" s="88"/>
      <c r="K233" s="88"/>
      <c r="L233" s="88"/>
      <c r="M233" s="88"/>
      <c r="N233" s="88"/>
      <c r="O233" s="86"/>
      <c r="P233" s="86"/>
      <c r="Q233" s="14" t="e">
        <v>#N/A</v>
      </c>
      <c r="R233" s="14" t="e">
        <v>#N/A</v>
      </c>
      <c r="S233" s="14"/>
      <c r="T233" s="90"/>
      <c r="U233" s="14"/>
      <c r="V233" s="14"/>
      <c r="W233" s="14"/>
      <c r="X233" s="86"/>
      <c r="Y233" s="59">
        <f ca="1">Table25[[#This Row],[End Date]]+2-TODAY()</f>
        <v>-45816</v>
      </c>
      <c r="Z233" s="14">
        <f>IF(ISBLANK(Table25[[#This Row],[Roster Received By]]),1,0)</f>
        <v>1</v>
      </c>
      <c r="AA233" s="14">
        <f ca="1">IF(Table25[[#This Row],[Start Date]]&gt;TODAY(),1,)</f>
        <v>0</v>
      </c>
    </row>
    <row r="234" spans="1:27" s="52" customFormat="1" hidden="1" x14ac:dyDescent="0.25">
      <c r="B234" s="86"/>
      <c r="C234" s="87" t="e">
        <v>#N/A</v>
      </c>
      <c r="D234" s="87" t="e">
        <v>#N/A</v>
      </c>
      <c r="E234" s="86"/>
      <c r="F234" s="89"/>
      <c r="G234" s="89"/>
      <c r="H234" s="89"/>
      <c r="I234" s="88"/>
      <c r="J234" s="88"/>
      <c r="K234" s="88"/>
      <c r="L234" s="88"/>
      <c r="M234" s="88"/>
      <c r="N234" s="88"/>
      <c r="O234" s="86"/>
      <c r="P234" s="86"/>
      <c r="Q234" s="14" t="e">
        <v>#N/A</v>
      </c>
      <c r="R234" s="14" t="e">
        <v>#N/A</v>
      </c>
      <c r="S234" s="14"/>
      <c r="T234" s="90"/>
      <c r="U234" s="14"/>
      <c r="V234" s="14"/>
      <c r="W234" s="14"/>
      <c r="X234" s="86"/>
      <c r="Y234" s="59">
        <f ca="1">Table25[[#This Row],[End Date]]+2-TODAY()</f>
        <v>-45816</v>
      </c>
      <c r="Z234" s="14">
        <f>IF(ISBLANK(Table25[[#This Row],[Roster Received By]]),1,0)</f>
        <v>1</v>
      </c>
      <c r="AA234" s="14">
        <f ca="1">IF(Table25[[#This Row],[Start Date]]&gt;TODAY(),1,)</f>
        <v>0</v>
      </c>
    </row>
    <row r="235" spans="1:27" s="52" customFormat="1" hidden="1" x14ac:dyDescent="0.25">
      <c r="B235" s="86"/>
      <c r="C235" s="87" t="e">
        <v>#N/A</v>
      </c>
      <c r="D235" s="87" t="e">
        <v>#N/A</v>
      </c>
      <c r="E235" s="86"/>
      <c r="F235" s="89"/>
      <c r="G235" s="89"/>
      <c r="H235" s="89"/>
      <c r="I235" s="88"/>
      <c r="J235" s="88"/>
      <c r="K235" s="88"/>
      <c r="L235" s="88"/>
      <c r="M235" s="88"/>
      <c r="N235" s="88"/>
      <c r="O235" s="86"/>
      <c r="P235" s="86"/>
      <c r="Q235" s="14" t="e">
        <v>#N/A</v>
      </c>
      <c r="R235" s="14" t="e">
        <v>#N/A</v>
      </c>
      <c r="S235" s="14"/>
      <c r="T235" s="90"/>
      <c r="U235" s="14"/>
      <c r="V235" s="14"/>
      <c r="W235" s="14"/>
      <c r="X235" s="86"/>
      <c r="Y235" s="59">
        <f ca="1">Table25[[#This Row],[End Date]]+2-TODAY()</f>
        <v>-45816</v>
      </c>
      <c r="Z235" s="14">
        <f>IF(ISBLANK(Table25[[#This Row],[Roster Received By]]),1,0)</f>
        <v>1</v>
      </c>
      <c r="AA235" s="14">
        <f ca="1">IF(Table25[[#This Row],[Start Date]]&gt;TODAY(),1,)</f>
        <v>0</v>
      </c>
    </row>
    <row r="236" spans="1:27" s="52" customFormat="1" hidden="1" x14ac:dyDescent="0.25">
      <c r="B236" s="86"/>
      <c r="C236" s="87" t="e">
        <v>#N/A</v>
      </c>
      <c r="D236" s="87" t="e">
        <v>#N/A</v>
      </c>
      <c r="E236" s="86"/>
      <c r="F236" s="89"/>
      <c r="G236" s="89"/>
      <c r="H236" s="95"/>
      <c r="I236" s="92"/>
      <c r="J236" s="89"/>
      <c r="K236" s="89"/>
      <c r="L236" s="89"/>
      <c r="M236" s="89"/>
      <c r="N236" s="89"/>
      <c r="O236" s="86"/>
      <c r="P236" s="86"/>
      <c r="Q236" s="14" t="e">
        <v>#N/A</v>
      </c>
      <c r="R236" s="14" t="e">
        <v>#N/A</v>
      </c>
      <c r="S236" s="90"/>
      <c r="T236" s="90"/>
      <c r="U236" s="14"/>
      <c r="V236" s="14"/>
      <c r="W236" s="14"/>
      <c r="X236" s="86"/>
      <c r="Y236" s="59">
        <f ca="1">Table25[[#This Row],[End Date]]+2-TODAY()</f>
        <v>-45816</v>
      </c>
      <c r="Z236" s="14">
        <f>IF(ISBLANK(Table25[[#This Row],[Roster Received By]]),1,0)</f>
        <v>1</v>
      </c>
      <c r="AA236" s="14">
        <f ca="1">IF(Table25[[#This Row],[Start Date]]&gt;TODAY(),1,)</f>
        <v>0</v>
      </c>
    </row>
    <row r="237" spans="1:27" s="52" customFormat="1" hidden="1" x14ac:dyDescent="0.25">
      <c r="B237" s="103"/>
      <c r="C237" s="87" t="e">
        <v>#N/A</v>
      </c>
      <c r="D237" s="87" t="e">
        <v>#N/A</v>
      </c>
      <c r="E237" s="86"/>
      <c r="F237" s="89"/>
      <c r="G237" s="89"/>
      <c r="H237" s="89"/>
      <c r="I237" s="88"/>
      <c r="J237" s="88"/>
      <c r="K237" s="88"/>
      <c r="L237" s="88"/>
      <c r="M237" s="88"/>
      <c r="N237" s="88"/>
      <c r="O237" s="86"/>
      <c r="P237" s="86"/>
      <c r="Q237" s="14" t="e">
        <v>#N/A</v>
      </c>
      <c r="R237" s="14" t="e">
        <v>#N/A</v>
      </c>
      <c r="S237" s="14"/>
      <c r="T237" s="90"/>
      <c r="U237" s="14"/>
      <c r="V237" s="14"/>
      <c r="W237" s="14"/>
      <c r="X237" s="86"/>
      <c r="Y237" s="59">
        <f ca="1">Table25[[#This Row],[End Date]]+2-TODAY()</f>
        <v>-45816</v>
      </c>
      <c r="Z237" s="14">
        <f>IF(ISBLANK(Table25[[#This Row],[Roster Received By]]),1,0)</f>
        <v>1</v>
      </c>
      <c r="AA237" s="14">
        <f ca="1">IF(Table25[[#This Row],[Start Date]]&gt;TODAY(),1,)</f>
        <v>0</v>
      </c>
    </row>
    <row r="238" spans="1:27" s="52" customFormat="1" hidden="1" x14ac:dyDescent="0.25">
      <c r="B238" s="86"/>
      <c r="C238" s="87" t="e">
        <v>#N/A</v>
      </c>
      <c r="D238" s="87" t="e">
        <v>#N/A</v>
      </c>
      <c r="E238" s="86"/>
      <c r="F238" s="89"/>
      <c r="G238" s="89"/>
      <c r="H238" s="92"/>
      <c r="I238" s="92"/>
      <c r="J238" s="89"/>
      <c r="K238" s="89"/>
      <c r="L238" s="89"/>
      <c r="M238" s="89"/>
      <c r="N238" s="89"/>
      <c r="O238" s="86"/>
      <c r="P238" s="86"/>
      <c r="Q238" s="14" t="e">
        <v>#N/A</v>
      </c>
      <c r="R238" s="14" t="e">
        <v>#N/A</v>
      </c>
      <c r="S238" s="14"/>
      <c r="T238" s="90"/>
      <c r="U238" s="14"/>
      <c r="V238" s="14"/>
      <c r="W238" s="91"/>
      <c r="X238" s="86"/>
      <c r="Y238" s="59">
        <f ca="1">Table25[[#This Row],[End Date]]+2-TODAY()</f>
        <v>-45816</v>
      </c>
      <c r="Z238" s="14">
        <f>IF(ISBLANK(Table25[[#This Row],[Roster Received By]]),1,0)</f>
        <v>1</v>
      </c>
      <c r="AA238" s="14">
        <f ca="1">IF(Table25[[#This Row],[Start Date]]&gt;TODAY(),1,)</f>
        <v>0</v>
      </c>
    </row>
    <row r="239" spans="1:27" s="52" customFormat="1" hidden="1" x14ac:dyDescent="0.25">
      <c r="B239" s="103"/>
      <c r="C239" s="87" t="e">
        <v>#N/A</v>
      </c>
      <c r="D239" s="87" t="e">
        <v>#N/A</v>
      </c>
      <c r="E239" s="86"/>
      <c r="F239" s="89"/>
      <c r="G239" s="89"/>
      <c r="H239" s="92"/>
      <c r="I239" s="92"/>
      <c r="J239" s="92"/>
      <c r="K239" s="92"/>
      <c r="L239" s="92"/>
      <c r="M239" s="92"/>
      <c r="N239" s="89"/>
      <c r="O239" s="86"/>
      <c r="P239" s="86"/>
      <c r="Q239" s="14" t="e">
        <v>#N/A</v>
      </c>
      <c r="R239" s="14" t="e">
        <v>#N/A</v>
      </c>
      <c r="S239" s="14"/>
      <c r="T239" s="90"/>
      <c r="U239" s="14"/>
      <c r="V239" s="14"/>
      <c r="W239" s="14"/>
      <c r="X239" s="86"/>
      <c r="Y239" s="59">
        <f ca="1">Table25[[#This Row],[End Date]]+2-TODAY()</f>
        <v>-45816</v>
      </c>
      <c r="Z239" s="14">
        <f>IF(ISBLANK(Table25[[#This Row],[Roster Received By]]),1,0)</f>
        <v>1</v>
      </c>
      <c r="AA239" s="14">
        <f ca="1">IF(Table25[[#This Row],[Start Date]]&gt;TODAY(),1,)</f>
        <v>0</v>
      </c>
    </row>
    <row r="240" spans="1:27" s="52" customFormat="1" hidden="1" x14ac:dyDescent="0.25">
      <c r="B240" s="103"/>
      <c r="C240" s="87" t="e">
        <v>#N/A</v>
      </c>
      <c r="D240" s="87" t="e">
        <v>#N/A</v>
      </c>
      <c r="E240" s="86"/>
      <c r="F240" s="89"/>
      <c r="G240" s="89"/>
      <c r="H240" s="92"/>
      <c r="I240" s="92"/>
      <c r="J240" s="89"/>
      <c r="K240" s="89"/>
      <c r="L240" s="89"/>
      <c r="M240" s="89"/>
      <c r="N240" s="89"/>
      <c r="O240" s="86"/>
      <c r="P240" s="86"/>
      <c r="Q240" s="14" t="e">
        <v>#N/A</v>
      </c>
      <c r="R240" s="14" t="e">
        <v>#N/A</v>
      </c>
      <c r="S240" s="14"/>
      <c r="T240" s="90"/>
      <c r="U240" s="14"/>
      <c r="V240" s="14"/>
      <c r="W240" s="14"/>
      <c r="X240" s="86"/>
      <c r="Y240" s="59">
        <f ca="1">Table25[[#This Row],[End Date]]+2-TODAY()</f>
        <v>-45816</v>
      </c>
      <c r="Z240" s="14">
        <f>IF(ISBLANK(Table25[[#This Row],[Roster Received By]]),1,0)</f>
        <v>1</v>
      </c>
      <c r="AA240" s="14">
        <f ca="1">IF(Table25[[#This Row],[Start Date]]&gt;TODAY(),1,)</f>
        <v>0</v>
      </c>
    </row>
    <row r="241" spans="1:27" s="52" customFormat="1" hidden="1" x14ac:dyDescent="0.25">
      <c r="B241" s="103"/>
      <c r="C241" s="87" t="e">
        <v>#N/A</v>
      </c>
      <c r="D241" s="87" t="e">
        <v>#N/A</v>
      </c>
      <c r="E241" s="86"/>
      <c r="F241" s="89"/>
      <c r="G241" s="89"/>
      <c r="H241" s="89"/>
      <c r="I241" s="88"/>
      <c r="J241" s="88"/>
      <c r="K241" s="88"/>
      <c r="L241" s="88"/>
      <c r="M241" s="88"/>
      <c r="N241" s="88"/>
      <c r="O241" s="86"/>
      <c r="P241" s="86"/>
      <c r="Q241" s="14" t="e">
        <v>#N/A</v>
      </c>
      <c r="R241" s="14" t="e">
        <v>#N/A</v>
      </c>
      <c r="S241" s="14"/>
      <c r="T241" s="90"/>
      <c r="U241" s="14"/>
      <c r="V241" s="14"/>
      <c r="W241" s="14"/>
      <c r="X241" s="86"/>
      <c r="Y241" s="59">
        <f ca="1">Table25[[#This Row],[End Date]]+2-TODAY()</f>
        <v>-45816</v>
      </c>
      <c r="Z241" s="14">
        <f>IF(ISBLANK(Table25[[#This Row],[Roster Received By]]),1,0)</f>
        <v>1</v>
      </c>
      <c r="AA241" s="14">
        <f ca="1">IF(Table25[[#This Row],[Start Date]]&gt;TODAY(),1,)</f>
        <v>0</v>
      </c>
    </row>
    <row r="242" spans="1:27" s="52" customFormat="1" hidden="1" x14ac:dyDescent="0.25">
      <c r="B242" s="86"/>
      <c r="C242" s="87" t="e">
        <v>#N/A</v>
      </c>
      <c r="D242" s="87" t="e">
        <v>#N/A</v>
      </c>
      <c r="E242" s="86"/>
      <c r="F242" s="89"/>
      <c r="G242" s="89"/>
      <c r="H242" s="95"/>
      <c r="I242" s="95"/>
      <c r="J242" s="89"/>
      <c r="K242" s="89"/>
      <c r="L242" s="89"/>
      <c r="M242" s="89"/>
      <c r="N242" s="89"/>
      <c r="O242" s="86"/>
      <c r="P242" s="86"/>
      <c r="Q242" s="14" t="e">
        <v>#N/A</v>
      </c>
      <c r="R242" s="14" t="e">
        <v>#N/A</v>
      </c>
      <c r="S242" s="14"/>
      <c r="T242" s="90"/>
      <c r="U242" s="14"/>
      <c r="V242" s="14"/>
      <c r="W242" s="14"/>
      <c r="X242" s="86"/>
      <c r="Y242" s="59">
        <f ca="1">Table25[[#This Row],[End Date]]+2-TODAY()</f>
        <v>-45816</v>
      </c>
      <c r="Z242" s="14">
        <f>IF(ISBLANK(Table25[[#This Row],[Roster Received By]]),1,0)</f>
        <v>1</v>
      </c>
      <c r="AA242" s="14">
        <f ca="1">IF(Table25[[#This Row],[Start Date]]&gt;TODAY(),1,)</f>
        <v>0</v>
      </c>
    </row>
    <row r="243" spans="1:27" s="52" customFormat="1" hidden="1" x14ac:dyDescent="0.25">
      <c r="B243" s="86"/>
      <c r="C243" s="87" t="e">
        <v>#N/A</v>
      </c>
      <c r="D243" s="87" t="e">
        <v>#N/A</v>
      </c>
      <c r="E243" s="86"/>
      <c r="F243" s="89"/>
      <c r="G243" s="89"/>
      <c r="H243" s="89"/>
      <c r="I243" s="88"/>
      <c r="J243" s="88"/>
      <c r="K243" s="88"/>
      <c r="L243" s="88"/>
      <c r="M243" s="88"/>
      <c r="N243" s="88"/>
      <c r="O243" s="86"/>
      <c r="P243" s="86"/>
      <c r="Q243" s="14" t="e">
        <v>#N/A</v>
      </c>
      <c r="R243" s="14" t="e">
        <v>#N/A</v>
      </c>
      <c r="S243" s="14"/>
      <c r="T243" s="90"/>
      <c r="U243" s="14"/>
      <c r="V243" s="14"/>
      <c r="W243" s="14"/>
      <c r="X243" s="86"/>
      <c r="Y243" s="59">
        <f ca="1">Table25[[#This Row],[End Date]]+2-TODAY()</f>
        <v>-45816</v>
      </c>
      <c r="Z243" s="14">
        <f>IF(ISBLANK(Table25[[#This Row],[Roster Received By]]),1,0)</f>
        <v>1</v>
      </c>
      <c r="AA243" s="14">
        <f ca="1">IF(Table25[[#This Row],[Start Date]]&gt;TODAY(),1,)</f>
        <v>0</v>
      </c>
    </row>
    <row r="244" spans="1:27" s="52" customFormat="1" hidden="1" x14ac:dyDescent="0.25">
      <c r="B244" s="113"/>
      <c r="C244" s="87" t="e">
        <v>#N/A</v>
      </c>
      <c r="D244" s="87" t="e">
        <v>#N/A</v>
      </c>
      <c r="E244" s="86"/>
      <c r="F244" s="89"/>
      <c r="G244" s="89"/>
      <c r="H244" s="89"/>
      <c r="I244" s="88"/>
      <c r="J244" s="88"/>
      <c r="K244" s="88"/>
      <c r="L244" s="88"/>
      <c r="M244" s="88"/>
      <c r="N244" s="88"/>
      <c r="O244" s="86"/>
      <c r="P244" s="86"/>
      <c r="Q244" s="14" t="e">
        <v>#N/A</v>
      </c>
      <c r="R244" s="14" t="e">
        <v>#N/A</v>
      </c>
      <c r="S244" s="14"/>
      <c r="T244" s="90"/>
      <c r="U244" s="14"/>
      <c r="V244" s="14"/>
      <c r="W244" s="87"/>
      <c r="X244" s="86"/>
      <c r="Y244" s="59">
        <f ca="1">Table25[[#This Row],[End Date]]+2-TODAY()</f>
        <v>-45816</v>
      </c>
      <c r="Z244" s="14">
        <f>IF(ISBLANK(Table25[[#This Row],[Roster Received By]]),1,0)</f>
        <v>1</v>
      </c>
      <c r="AA244" s="14">
        <f ca="1">IF(Table25[[#This Row],[Start Date]]&gt;TODAY(),1,)</f>
        <v>0</v>
      </c>
    </row>
    <row r="245" spans="1:27" s="52" customFormat="1" hidden="1" x14ac:dyDescent="0.25">
      <c r="B245" s="103"/>
      <c r="C245" s="87" t="e">
        <v>#N/A</v>
      </c>
      <c r="D245" s="87" t="e">
        <v>#N/A</v>
      </c>
      <c r="E245" s="86"/>
      <c r="F245" s="89"/>
      <c r="G245" s="89"/>
      <c r="H245" s="89"/>
      <c r="I245" s="88"/>
      <c r="J245" s="88"/>
      <c r="K245" s="88"/>
      <c r="L245" s="88"/>
      <c r="M245" s="88"/>
      <c r="N245" s="88"/>
      <c r="O245" s="86"/>
      <c r="P245" s="86"/>
      <c r="Q245" s="14" t="e">
        <v>#N/A</v>
      </c>
      <c r="R245" s="14" t="e">
        <v>#N/A</v>
      </c>
      <c r="S245" s="14"/>
      <c r="T245" s="90"/>
      <c r="U245" s="14"/>
      <c r="V245" s="14"/>
      <c r="W245" s="14"/>
      <c r="X245" s="86"/>
      <c r="Y245" s="59">
        <f ca="1">Table25[[#This Row],[End Date]]+2-TODAY()</f>
        <v>-45816</v>
      </c>
      <c r="Z245" s="14">
        <f>IF(ISBLANK(Table25[[#This Row],[Roster Received By]]),1,0)</f>
        <v>1</v>
      </c>
      <c r="AA245" s="14">
        <f ca="1">IF(Table25[[#This Row],[Start Date]]&gt;TODAY(),1,)</f>
        <v>0</v>
      </c>
    </row>
    <row r="246" spans="1:27" s="52" customFormat="1" hidden="1" x14ac:dyDescent="0.25">
      <c r="B246" s="103"/>
      <c r="C246" s="87" t="e">
        <v>#N/A</v>
      </c>
      <c r="D246" s="87" t="e">
        <v>#N/A</v>
      </c>
      <c r="E246" s="86"/>
      <c r="F246" s="89"/>
      <c r="G246" s="89"/>
      <c r="H246" s="92"/>
      <c r="I246" s="92"/>
      <c r="J246" s="92"/>
      <c r="K246" s="92"/>
      <c r="L246" s="92"/>
      <c r="M246" s="92"/>
      <c r="N246" s="89"/>
      <c r="O246" s="86"/>
      <c r="P246" s="86"/>
      <c r="Q246" s="14" t="e">
        <v>#N/A</v>
      </c>
      <c r="R246" s="14" t="e">
        <v>#N/A</v>
      </c>
      <c r="S246" s="14"/>
      <c r="T246" s="90"/>
      <c r="U246" s="14"/>
      <c r="V246" s="14"/>
      <c r="W246" s="14"/>
      <c r="X246" s="86"/>
      <c r="Y246" s="59">
        <f ca="1">Table25[[#This Row],[End Date]]+2-TODAY()</f>
        <v>-45816</v>
      </c>
      <c r="Z246" s="14">
        <f>IF(ISBLANK(Table25[[#This Row],[Roster Received By]]),1,0)</f>
        <v>1</v>
      </c>
      <c r="AA246" s="14">
        <f ca="1">IF(Table25[[#This Row],[Start Date]]&gt;TODAY(),1,)</f>
        <v>0</v>
      </c>
    </row>
    <row r="247" spans="1:27" s="52" customFormat="1" hidden="1" x14ac:dyDescent="0.25">
      <c r="B247" s="103"/>
      <c r="C247" s="87" t="e">
        <v>#N/A</v>
      </c>
      <c r="D247" s="87" t="e">
        <v>#N/A</v>
      </c>
      <c r="E247" s="103"/>
      <c r="F247" s="85"/>
      <c r="G247" s="97"/>
      <c r="H247" s="89"/>
      <c r="I247" s="88"/>
      <c r="J247" s="88"/>
      <c r="K247" s="88"/>
      <c r="L247" s="88"/>
      <c r="M247" s="88"/>
      <c r="N247" s="88"/>
      <c r="O247" s="86"/>
      <c r="P247" s="86"/>
      <c r="Q247" s="14" t="e">
        <v>#N/A</v>
      </c>
      <c r="R247" s="14" t="e">
        <v>#N/A</v>
      </c>
      <c r="S247" s="14"/>
      <c r="T247" s="90"/>
      <c r="U247" s="14"/>
      <c r="V247" s="14"/>
      <c r="W247" s="14"/>
      <c r="X247" s="86"/>
      <c r="Y247" s="59">
        <f ca="1">Table25[[#This Row],[End Date]]+2-TODAY()</f>
        <v>-45816</v>
      </c>
      <c r="Z247" s="14">
        <f>IF(ISBLANK(Table25[[#This Row],[Roster Received By]]),1,0)</f>
        <v>1</v>
      </c>
      <c r="AA247" s="14">
        <f ca="1">IF(Table25[[#This Row],[Start Date]]&gt;TODAY(),1,)</f>
        <v>0</v>
      </c>
    </row>
    <row r="248" spans="1:27" s="52" customFormat="1" hidden="1" x14ac:dyDescent="0.25">
      <c r="B248" s="86"/>
      <c r="C248" s="87" t="e">
        <v>#N/A</v>
      </c>
      <c r="D248" s="87" t="e">
        <v>#N/A</v>
      </c>
      <c r="E248" s="86"/>
      <c r="F248" s="89"/>
      <c r="G248" s="89"/>
      <c r="H248" s="92"/>
      <c r="I248" s="92"/>
      <c r="J248" s="89"/>
      <c r="K248" s="89"/>
      <c r="L248" s="89"/>
      <c r="M248" s="89"/>
      <c r="N248" s="89"/>
      <c r="O248" s="86"/>
      <c r="P248" s="86"/>
      <c r="Q248" s="14" t="e">
        <v>#N/A</v>
      </c>
      <c r="R248" s="14" t="e">
        <v>#N/A</v>
      </c>
      <c r="S248" s="14"/>
      <c r="T248" s="90"/>
      <c r="U248" s="14"/>
      <c r="V248" s="14"/>
      <c r="W248" s="14"/>
      <c r="X248" s="86"/>
      <c r="Y248" s="59">
        <f ca="1">Table25[[#This Row],[End Date]]+2-TODAY()</f>
        <v>-45816</v>
      </c>
      <c r="Z248" s="14">
        <f>IF(ISBLANK(Table25[[#This Row],[Roster Received By]]),1,0)</f>
        <v>1</v>
      </c>
      <c r="AA248" s="14">
        <f ca="1">IF(Table25[[#This Row],[Start Date]]&gt;TODAY(),1,)</f>
        <v>0</v>
      </c>
    </row>
    <row r="249" spans="1:27" s="52" customFormat="1" hidden="1" x14ac:dyDescent="0.25">
      <c r="B249" s="103"/>
      <c r="C249" s="87" t="e">
        <v>#N/A</v>
      </c>
      <c r="D249" s="87" t="e">
        <v>#N/A</v>
      </c>
      <c r="E249" s="55"/>
      <c r="F249" s="85"/>
      <c r="G249" s="97"/>
      <c r="H249" s="92"/>
      <c r="I249" s="92"/>
      <c r="J249" s="89"/>
      <c r="K249" s="89"/>
      <c r="L249" s="89"/>
      <c r="M249" s="89"/>
      <c r="N249" s="89"/>
      <c r="O249" s="86"/>
      <c r="P249" s="86"/>
      <c r="Q249" s="14" t="e">
        <v>#N/A</v>
      </c>
      <c r="R249" s="14" t="e">
        <v>#N/A</v>
      </c>
      <c r="S249" s="14"/>
      <c r="T249" s="90"/>
      <c r="U249" s="14"/>
      <c r="V249" s="14"/>
      <c r="W249" s="87"/>
      <c r="X249" s="86"/>
      <c r="Y249" s="59">
        <f ca="1">Table25[[#This Row],[End Date]]+2-TODAY()</f>
        <v>-45816</v>
      </c>
      <c r="Z249" s="14">
        <f>IF(ISBLANK(Table25[[#This Row],[Roster Received By]]),1,0)</f>
        <v>1</v>
      </c>
      <c r="AA249" s="14">
        <f ca="1">IF(Table25[[#This Row],[Start Date]]&gt;TODAY(),1,)</f>
        <v>0</v>
      </c>
    </row>
    <row r="250" spans="1:27" s="52" customFormat="1" hidden="1" x14ac:dyDescent="0.25">
      <c r="B250" s="55"/>
      <c r="C250" s="87" t="e">
        <v>#N/A</v>
      </c>
      <c r="D250" s="87" t="e">
        <v>#N/A</v>
      </c>
      <c r="E250" s="117"/>
      <c r="F250" s="85"/>
      <c r="G250" s="85"/>
      <c r="H250" s="88"/>
      <c r="I250" s="88"/>
      <c r="J250" s="89"/>
      <c r="K250" s="89"/>
      <c r="L250" s="89"/>
      <c r="M250" s="89"/>
      <c r="N250" s="89"/>
      <c r="O250" s="86"/>
      <c r="P250" s="86"/>
      <c r="Q250" s="14" t="e">
        <v>#N/A</v>
      </c>
      <c r="R250" s="14" t="e">
        <v>#N/A</v>
      </c>
      <c r="S250" s="14"/>
      <c r="T250" s="90"/>
      <c r="U250" s="14"/>
      <c r="V250" s="14"/>
      <c r="W250" s="14"/>
      <c r="X250" s="86"/>
      <c r="Y250" s="59">
        <f ca="1">Table25[[#This Row],[End Date]]+2-TODAY()</f>
        <v>-45816</v>
      </c>
      <c r="Z250" s="14">
        <f>IF(ISBLANK(Table25[[#This Row],[Roster Received By]]),1,0)</f>
        <v>1</v>
      </c>
      <c r="AA250" s="14">
        <f ca="1">IF(Table25[[#This Row],[Start Date]]&gt;TODAY(),1,)</f>
        <v>0</v>
      </c>
    </row>
    <row r="251" spans="1:27" s="52" customFormat="1" hidden="1" x14ac:dyDescent="0.25">
      <c r="B251" s="103"/>
      <c r="C251" s="87" t="e">
        <v>#N/A</v>
      </c>
      <c r="D251" s="87" t="e">
        <v>#N/A</v>
      </c>
      <c r="E251" s="103"/>
      <c r="F251" s="97"/>
      <c r="G251" s="97"/>
      <c r="H251" s="89"/>
      <c r="I251" s="88"/>
      <c r="J251" s="88"/>
      <c r="K251" s="88"/>
      <c r="L251" s="88"/>
      <c r="M251" s="88"/>
      <c r="N251" s="88"/>
      <c r="O251" s="86"/>
      <c r="P251" s="86"/>
      <c r="Q251" s="14" t="e">
        <v>#N/A</v>
      </c>
      <c r="R251" s="14" t="e">
        <v>#N/A</v>
      </c>
      <c r="S251" s="14"/>
      <c r="T251" s="90"/>
      <c r="U251" s="14"/>
      <c r="V251" s="14"/>
      <c r="W251" s="14"/>
      <c r="X251" s="86"/>
      <c r="Y251" s="59">
        <f ca="1">Table25[[#This Row],[End Date]]+2-TODAY()</f>
        <v>-45816</v>
      </c>
      <c r="Z251" s="14">
        <f>IF(ISBLANK(Table25[[#This Row],[Roster Received By]]),1,0)</f>
        <v>1</v>
      </c>
      <c r="AA251" s="14">
        <f ca="1">IF(Table25[[#This Row],[Start Date]]&gt;TODAY(),1,)</f>
        <v>0</v>
      </c>
    </row>
    <row r="252" spans="1:27" s="52" customFormat="1" hidden="1" x14ac:dyDescent="0.25">
      <c r="B252" s="103"/>
      <c r="C252" s="87" t="e">
        <v>#N/A</v>
      </c>
      <c r="D252" s="87" t="e">
        <v>#N/A</v>
      </c>
      <c r="E252" s="103"/>
      <c r="F252" s="97"/>
      <c r="G252" s="97"/>
      <c r="H252" s="89"/>
      <c r="I252" s="88"/>
      <c r="J252" s="88"/>
      <c r="K252" s="88"/>
      <c r="L252" s="88"/>
      <c r="M252" s="88"/>
      <c r="N252" s="88"/>
      <c r="O252" s="86"/>
      <c r="P252" s="86"/>
      <c r="Q252" s="14" t="e">
        <v>#N/A</v>
      </c>
      <c r="R252" s="14" t="e">
        <v>#N/A</v>
      </c>
      <c r="S252" s="14"/>
      <c r="T252" s="90"/>
      <c r="U252" s="14"/>
      <c r="V252" s="14"/>
      <c r="W252" s="87"/>
      <c r="X252" s="86"/>
      <c r="Y252" s="59">
        <f ca="1">Table25[[#This Row],[End Date]]+2-TODAY()</f>
        <v>-45816</v>
      </c>
      <c r="Z252" s="14">
        <f>IF(ISBLANK(Table25[[#This Row],[Roster Received By]]),1,0)</f>
        <v>1</v>
      </c>
      <c r="AA252" s="14">
        <f ca="1">IF(Table25[[#This Row],[Start Date]]&gt;TODAY(),1,)</f>
        <v>0</v>
      </c>
    </row>
    <row r="253" spans="1:27" s="52" customFormat="1" hidden="1" x14ac:dyDescent="0.25">
      <c r="B253" s="103"/>
      <c r="C253" s="87" t="e">
        <v>#N/A</v>
      </c>
      <c r="D253" s="87" t="e">
        <v>#N/A</v>
      </c>
      <c r="E253" s="103"/>
      <c r="F253" s="97"/>
      <c r="G253" s="97"/>
      <c r="H253" s="89"/>
      <c r="I253" s="88"/>
      <c r="J253" s="88"/>
      <c r="K253" s="88"/>
      <c r="L253" s="88"/>
      <c r="M253" s="88"/>
      <c r="N253" s="88"/>
      <c r="O253" s="86"/>
      <c r="P253" s="86"/>
      <c r="Q253" s="14" t="e">
        <v>#N/A</v>
      </c>
      <c r="R253" s="14" t="e">
        <v>#N/A</v>
      </c>
      <c r="S253" s="14"/>
      <c r="T253" s="90"/>
      <c r="U253" s="14"/>
      <c r="V253" s="14"/>
      <c r="W253" s="14"/>
      <c r="X253" s="86"/>
      <c r="Y253" s="59">
        <f ca="1">Table25[[#This Row],[End Date]]+2-TODAY()</f>
        <v>-45816</v>
      </c>
      <c r="Z253" s="14">
        <f>IF(ISBLANK(Table25[[#This Row],[Roster Received By]]),1,0)</f>
        <v>1</v>
      </c>
      <c r="AA253" s="14">
        <f ca="1">IF(Table25[[#This Row],[Start Date]]&gt;TODAY(),1,)</f>
        <v>0</v>
      </c>
    </row>
    <row r="254" spans="1:27" s="52" customFormat="1" hidden="1" x14ac:dyDescent="0.25">
      <c r="A254" s="54"/>
      <c r="B254" s="103"/>
      <c r="C254" s="87" t="e">
        <v>#N/A</v>
      </c>
      <c r="D254" s="87" t="e">
        <v>#N/A</v>
      </c>
      <c r="E254" s="103"/>
      <c r="F254" s="97"/>
      <c r="G254" s="97"/>
      <c r="H254" s="89"/>
      <c r="I254" s="88"/>
      <c r="J254" s="88"/>
      <c r="K254" s="88"/>
      <c r="L254" s="88"/>
      <c r="M254" s="88"/>
      <c r="N254" s="88"/>
      <c r="O254" s="86"/>
      <c r="P254" s="86"/>
      <c r="Q254" s="14" t="e">
        <v>#N/A</v>
      </c>
      <c r="R254" s="14" t="e">
        <v>#N/A</v>
      </c>
      <c r="S254" s="14"/>
      <c r="T254" s="90"/>
      <c r="U254" s="14"/>
      <c r="V254" s="14"/>
      <c r="W254" s="14"/>
      <c r="X254" s="86"/>
      <c r="Y254" s="59">
        <f ca="1">Table25[[#This Row],[End Date]]+2-TODAY()</f>
        <v>-45816</v>
      </c>
      <c r="Z254" s="14">
        <f>IF(ISBLANK(Table25[[#This Row],[Roster Received By]]),1,0)</f>
        <v>1</v>
      </c>
      <c r="AA254" s="14">
        <f ca="1">IF(Table25[[#This Row],[Start Date]]&gt;TODAY(),1,)</f>
        <v>0</v>
      </c>
    </row>
    <row r="255" spans="1:27" s="52" customFormat="1" hidden="1" x14ac:dyDescent="0.25">
      <c r="B255" s="103"/>
      <c r="C255" s="87" t="e">
        <v>#N/A</v>
      </c>
      <c r="D255" s="87" t="e">
        <v>#N/A</v>
      </c>
      <c r="E255" s="103"/>
      <c r="F255" s="97"/>
      <c r="G255" s="97"/>
      <c r="H255" s="95"/>
      <c r="I255" s="95"/>
      <c r="J255" s="89"/>
      <c r="K255" s="89"/>
      <c r="L255" s="89"/>
      <c r="M255" s="89"/>
      <c r="N255" s="89"/>
      <c r="O255" s="86"/>
      <c r="P255" s="86"/>
      <c r="Q255" s="14" t="e">
        <v>#N/A</v>
      </c>
      <c r="R255" s="14" t="e">
        <v>#N/A</v>
      </c>
      <c r="S255" s="14"/>
      <c r="T255" s="90"/>
      <c r="U255" s="14"/>
      <c r="V255" s="14"/>
      <c r="W255" s="14"/>
      <c r="X255" s="86"/>
      <c r="Y255" s="59">
        <f ca="1">Table25[[#This Row],[End Date]]+2-TODAY()</f>
        <v>-45816</v>
      </c>
      <c r="Z255" s="14">
        <f>IF(ISBLANK(Table25[[#This Row],[Roster Received By]]),1,0)</f>
        <v>1</v>
      </c>
      <c r="AA255" s="14">
        <f ca="1">IF(Table25[[#This Row],[Start Date]]&gt;TODAY(),1,)</f>
        <v>0</v>
      </c>
    </row>
    <row r="256" spans="1:27" s="52" customFormat="1" hidden="1" x14ac:dyDescent="0.25">
      <c r="B256" s="103"/>
      <c r="C256" s="87" t="e">
        <v>#N/A</v>
      </c>
      <c r="D256" s="87" t="e">
        <v>#N/A</v>
      </c>
      <c r="E256" s="103"/>
      <c r="F256" s="97"/>
      <c r="G256" s="97"/>
      <c r="H256" s="88"/>
      <c r="I256" s="92"/>
      <c r="J256" s="89"/>
      <c r="K256" s="89"/>
      <c r="L256" s="89"/>
      <c r="M256" s="89"/>
      <c r="N256" s="89"/>
      <c r="O256" s="86"/>
      <c r="P256" s="86"/>
      <c r="Q256" s="14" t="e">
        <v>#N/A</v>
      </c>
      <c r="R256" s="14" t="e">
        <v>#N/A</v>
      </c>
      <c r="S256" s="90"/>
      <c r="T256" s="90"/>
      <c r="U256" s="14"/>
      <c r="V256" s="14"/>
      <c r="W256" s="14"/>
      <c r="X256" s="86"/>
      <c r="Y256" s="59">
        <f ca="1">Table25[[#This Row],[End Date]]+2-TODAY()</f>
        <v>-45816</v>
      </c>
      <c r="Z256" s="14">
        <f>IF(ISBLANK(Table25[[#This Row],[Roster Received By]]),1,0)</f>
        <v>1</v>
      </c>
      <c r="AA256" s="14">
        <f ca="1">IF(Table25[[#This Row],[Start Date]]&gt;TODAY(),1,)</f>
        <v>0</v>
      </c>
    </row>
    <row r="257" spans="1:27" s="52" customFormat="1" hidden="1" x14ac:dyDescent="0.25">
      <c r="B257" s="103"/>
      <c r="C257" s="87" t="e">
        <v>#N/A</v>
      </c>
      <c r="D257" s="87" t="e">
        <v>#N/A</v>
      </c>
      <c r="E257" s="103"/>
      <c r="F257" s="97"/>
      <c r="G257" s="97"/>
      <c r="H257" s="92"/>
      <c r="I257" s="92"/>
      <c r="J257" s="92"/>
      <c r="K257" s="92"/>
      <c r="L257" s="92"/>
      <c r="M257" s="92"/>
      <c r="N257" s="92"/>
      <c r="O257" s="86"/>
      <c r="P257" s="86"/>
      <c r="Q257" s="14" t="e">
        <v>#N/A</v>
      </c>
      <c r="R257" s="14" t="e">
        <v>#N/A</v>
      </c>
      <c r="S257" s="90"/>
      <c r="T257" s="90"/>
      <c r="U257" s="14"/>
      <c r="V257" s="14"/>
      <c r="W257" s="14"/>
      <c r="X257" s="86"/>
      <c r="Y257" s="59">
        <f ca="1">Table25[[#This Row],[End Date]]+2-TODAY()</f>
        <v>-45816</v>
      </c>
      <c r="Z257" s="14">
        <f>IF(ISBLANK(Table25[[#This Row],[Roster Received By]]),1,0)</f>
        <v>1</v>
      </c>
      <c r="AA257" s="14">
        <f ca="1">IF(Table25[[#This Row],[Start Date]]&gt;TODAY(),1,)</f>
        <v>0</v>
      </c>
    </row>
    <row r="258" spans="1:27" s="52" customFormat="1" hidden="1" x14ac:dyDescent="0.25">
      <c r="B258" s="103"/>
      <c r="C258" s="87" t="e">
        <v>#N/A</v>
      </c>
      <c r="D258" s="87" t="e">
        <v>#N/A</v>
      </c>
      <c r="E258" s="117"/>
      <c r="F258" s="85"/>
      <c r="G258" s="85"/>
      <c r="H258" s="88"/>
      <c r="I258" s="88"/>
      <c r="J258" s="89"/>
      <c r="K258" s="89"/>
      <c r="L258" s="89"/>
      <c r="M258" s="89"/>
      <c r="N258" s="89"/>
      <c r="O258" s="86"/>
      <c r="P258" s="86"/>
      <c r="Q258" s="14" t="e">
        <v>#N/A</v>
      </c>
      <c r="R258" s="14" t="e">
        <v>#N/A</v>
      </c>
      <c r="S258" s="14"/>
      <c r="T258" s="90"/>
      <c r="U258" s="14"/>
      <c r="V258" s="14"/>
      <c r="W258" s="90"/>
      <c r="X258" s="86"/>
      <c r="Y258" s="59">
        <f ca="1">Table25[[#This Row],[End Date]]+2-TODAY()</f>
        <v>-45816</v>
      </c>
      <c r="Z258" s="14">
        <f>IF(ISBLANK(Table25[[#This Row],[Roster Received By]]),1,0)</f>
        <v>1</v>
      </c>
      <c r="AA258" s="14">
        <f ca="1">IF(Table25[[#This Row],[Start Date]]&gt;TODAY(),1,)</f>
        <v>0</v>
      </c>
    </row>
    <row r="259" spans="1:27" s="52" customFormat="1" hidden="1" x14ac:dyDescent="0.25">
      <c r="B259" s="103"/>
      <c r="C259" s="87" t="e">
        <v>#N/A</v>
      </c>
      <c r="D259" s="87" t="e">
        <v>#N/A</v>
      </c>
      <c r="E259" s="86"/>
      <c r="F259" s="89"/>
      <c r="G259" s="89"/>
      <c r="H259" s="92"/>
      <c r="I259" s="92"/>
      <c r="J259" s="92"/>
      <c r="K259" s="92"/>
      <c r="L259" s="92"/>
      <c r="M259" s="92"/>
      <c r="N259" s="92"/>
      <c r="O259" s="86"/>
      <c r="P259" s="86"/>
      <c r="Q259" s="14" t="e">
        <v>#N/A</v>
      </c>
      <c r="R259" s="14" t="e">
        <v>#N/A</v>
      </c>
      <c r="S259" s="14"/>
      <c r="T259" s="90"/>
      <c r="U259" s="14"/>
      <c r="V259" s="14"/>
      <c r="W259" s="14"/>
      <c r="X259" s="86"/>
      <c r="Y259" s="59">
        <f ca="1">Table25[[#This Row],[End Date]]+2-TODAY()</f>
        <v>-45816</v>
      </c>
      <c r="Z259" s="14">
        <f>IF(ISBLANK(Table25[[#This Row],[Roster Received By]]),1,0)</f>
        <v>1</v>
      </c>
      <c r="AA259" s="14">
        <f ca="1">IF(Table25[[#This Row],[Start Date]]&gt;TODAY(),1,)</f>
        <v>0</v>
      </c>
    </row>
    <row r="260" spans="1:27" s="52" customFormat="1" hidden="1" x14ac:dyDescent="0.25">
      <c r="B260" s="104"/>
      <c r="C260" s="87" t="e">
        <v>#N/A</v>
      </c>
      <c r="D260" s="87" t="e">
        <v>#N/A</v>
      </c>
      <c r="E260" s="86"/>
      <c r="F260" s="89"/>
      <c r="G260" s="89"/>
      <c r="H260" s="89"/>
      <c r="I260" s="88"/>
      <c r="J260" s="88"/>
      <c r="K260" s="88"/>
      <c r="L260" s="88"/>
      <c r="M260" s="88"/>
      <c r="N260" s="88"/>
      <c r="O260" s="86"/>
      <c r="P260" s="86"/>
      <c r="Q260" s="14" t="e">
        <v>#N/A</v>
      </c>
      <c r="R260" s="14" t="e">
        <v>#N/A</v>
      </c>
      <c r="S260" s="14"/>
      <c r="T260" s="90"/>
      <c r="U260" s="14"/>
      <c r="V260" s="14"/>
      <c r="W260" s="14"/>
      <c r="X260" s="86"/>
      <c r="Y260" s="59">
        <f ca="1">Table25[[#This Row],[End Date]]+2-TODAY()</f>
        <v>-45816</v>
      </c>
      <c r="Z260" s="14">
        <f>IF(ISBLANK(Table25[[#This Row],[Roster Received By]]),1,0)</f>
        <v>1</v>
      </c>
      <c r="AA260" s="14">
        <f ca="1">IF(Table25[[#This Row],[Start Date]]&gt;TODAY(),1,)</f>
        <v>0</v>
      </c>
    </row>
    <row r="261" spans="1:27" s="52" customFormat="1" hidden="1" x14ac:dyDescent="0.25">
      <c r="B261" s="104"/>
      <c r="C261" s="87" t="e">
        <v>#N/A</v>
      </c>
      <c r="D261" s="87" t="e">
        <v>#N/A</v>
      </c>
      <c r="E261" s="86"/>
      <c r="F261" s="89"/>
      <c r="G261" s="89"/>
      <c r="H261" s="89"/>
      <c r="I261" s="88"/>
      <c r="J261" s="88"/>
      <c r="K261" s="88"/>
      <c r="L261" s="88"/>
      <c r="M261" s="88"/>
      <c r="N261" s="88"/>
      <c r="O261" s="86"/>
      <c r="P261" s="86"/>
      <c r="Q261" s="14" t="e">
        <v>#N/A</v>
      </c>
      <c r="R261" s="14" t="e">
        <v>#N/A</v>
      </c>
      <c r="S261" s="14"/>
      <c r="T261" s="90"/>
      <c r="U261" s="14"/>
      <c r="V261" s="14"/>
      <c r="W261" s="14"/>
      <c r="X261" s="86"/>
      <c r="Y261" s="59">
        <f ca="1">Table25[[#This Row],[End Date]]+2-TODAY()</f>
        <v>-45816</v>
      </c>
      <c r="Z261" s="14">
        <f>IF(ISBLANK(Table25[[#This Row],[Roster Received By]]),1,0)</f>
        <v>1</v>
      </c>
      <c r="AA261" s="14">
        <f ca="1">IF(Table25[[#This Row],[Start Date]]&gt;TODAY(),1,)</f>
        <v>0</v>
      </c>
    </row>
    <row r="262" spans="1:27" s="52" customFormat="1" hidden="1" x14ac:dyDescent="0.25">
      <c r="B262" s="103"/>
      <c r="C262" s="87" t="e">
        <v>#N/A</v>
      </c>
      <c r="D262" s="87" t="e">
        <v>#N/A</v>
      </c>
      <c r="E262" s="86"/>
      <c r="F262" s="89"/>
      <c r="G262" s="89"/>
      <c r="H262" s="89"/>
      <c r="I262" s="88"/>
      <c r="J262" s="88"/>
      <c r="K262" s="88"/>
      <c r="L262" s="88"/>
      <c r="M262" s="88"/>
      <c r="N262" s="88"/>
      <c r="O262" s="86"/>
      <c r="P262" s="86"/>
      <c r="Q262" s="14" t="e">
        <v>#N/A</v>
      </c>
      <c r="R262" s="14" t="e">
        <v>#N/A</v>
      </c>
      <c r="S262" s="14"/>
      <c r="T262" s="90"/>
      <c r="U262" s="14"/>
      <c r="V262" s="14"/>
      <c r="W262" s="14"/>
      <c r="X262" s="86"/>
      <c r="Y262" s="59">
        <f ca="1">Table25[[#This Row],[End Date]]+2-TODAY()</f>
        <v>-45816</v>
      </c>
      <c r="Z262" s="14">
        <f>IF(ISBLANK(Table25[[#This Row],[Roster Received By]]),1,0)</f>
        <v>1</v>
      </c>
      <c r="AA262" s="14">
        <f ca="1">IF(Table25[[#This Row],[Start Date]]&gt;TODAY(),1,)</f>
        <v>0</v>
      </c>
    </row>
    <row r="263" spans="1:27" s="52" customFormat="1" hidden="1" x14ac:dyDescent="0.25">
      <c r="B263" s="103"/>
      <c r="C263" s="87" t="e">
        <v>#N/A</v>
      </c>
      <c r="D263" s="87" t="e">
        <v>#N/A</v>
      </c>
      <c r="E263" s="86"/>
      <c r="F263" s="89"/>
      <c r="G263" s="89"/>
      <c r="H263" s="89"/>
      <c r="I263" s="88"/>
      <c r="J263" s="88"/>
      <c r="K263" s="88"/>
      <c r="L263" s="88"/>
      <c r="M263" s="88"/>
      <c r="N263" s="88"/>
      <c r="O263" s="86"/>
      <c r="P263" s="86"/>
      <c r="Q263" s="14" t="e">
        <v>#N/A</v>
      </c>
      <c r="R263" s="14" t="e">
        <v>#N/A</v>
      </c>
      <c r="S263" s="14"/>
      <c r="T263" s="90"/>
      <c r="U263" s="14"/>
      <c r="V263" s="14"/>
      <c r="W263" s="14"/>
      <c r="X263" s="86"/>
      <c r="Y263" s="59">
        <f ca="1">Table25[[#This Row],[End Date]]+2-TODAY()</f>
        <v>-45816</v>
      </c>
      <c r="Z263" s="14">
        <f>IF(ISBLANK(Table25[[#This Row],[Roster Received By]]),1,0)</f>
        <v>1</v>
      </c>
      <c r="AA263" s="14">
        <f ca="1">IF(Table25[[#This Row],[Start Date]]&gt;TODAY(),1,)</f>
        <v>0</v>
      </c>
    </row>
    <row r="264" spans="1:27" s="52" customFormat="1" hidden="1" x14ac:dyDescent="0.25">
      <c r="B264" s="103"/>
      <c r="C264" s="87" t="e">
        <v>#N/A</v>
      </c>
      <c r="D264" s="87" t="e">
        <v>#N/A</v>
      </c>
      <c r="E264" s="86"/>
      <c r="F264" s="89"/>
      <c r="G264" s="89"/>
      <c r="H264" s="89"/>
      <c r="I264" s="88"/>
      <c r="J264" s="88"/>
      <c r="K264" s="88"/>
      <c r="L264" s="88"/>
      <c r="M264" s="88"/>
      <c r="N264" s="88"/>
      <c r="O264" s="86"/>
      <c r="P264" s="86"/>
      <c r="Q264" s="14" t="e">
        <v>#N/A</v>
      </c>
      <c r="R264" s="14" t="e">
        <v>#N/A</v>
      </c>
      <c r="S264" s="14"/>
      <c r="T264" s="90"/>
      <c r="U264" s="14"/>
      <c r="V264" s="14"/>
      <c r="W264" s="14"/>
      <c r="X264" s="86"/>
      <c r="Y264" s="59">
        <f ca="1">Table25[[#This Row],[End Date]]+2-TODAY()</f>
        <v>-45816</v>
      </c>
      <c r="Z264" s="14">
        <f>IF(ISBLANK(Table25[[#This Row],[Roster Received By]]),1,0)</f>
        <v>1</v>
      </c>
      <c r="AA264" s="14">
        <f ca="1">IF(Table25[[#This Row],[Start Date]]&gt;TODAY(),1,)</f>
        <v>0</v>
      </c>
    </row>
    <row r="265" spans="1:27" s="52" customFormat="1" hidden="1" x14ac:dyDescent="0.25">
      <c r="B265" s="103"/>
      <c r="C265" s="87" t="e">
        <v>#N/A</v>
      </c>
      <c r="D265" s="87" t="e">
        <v>#N/A</v>
      </c>
      <c r="E265" s="54"/>
      <c r="F265" s="89"/>
      <c r="G265" s="89"/>
      <c r="H265" s="92"/>
      <c r="I265" s="92"/>
      <c r="J265" s="89"/>
      <c r="K265" s="89"/>
      <c r="L265" s="89"/>
      <c r="M265" s="89"/>
      <c r="N265" s="89"/>
      <c r="O265" s="86"/>
      <c r="P265" s="86"/>
      <c r="Q265" s="14" t="e">
        <v>#N/A</v>
      </c>
      <c r="R265" s="14" t="e">
        <v>#N/A</v>
      </c>
      <c r="S265" s="14"/>
      <c r="T265" s="90"/>
      <c r="U265" s="14"/>
      <c r="V265" s="14"/>
      <c r="W265" s="14"/>
      <c r="X265" s="86"/>
      <c r="Y265" s="59">
        <f ca="1">Table25[[#This Row],[End Date]]+2-TODAY()</f>
        <v>-45816</v>
      </c>
      <c r="Z265" s="14">
        <f>IF(ISBLANK(Table25[[#This Row],[Roster Received By]]),1,0)</f>
        <v>1</v>
      </c>
      <c r="AA265" s="14">
        <f ca="1">IF(Table25[[#This Row],[Start Date]]&gt;TODAY(),1,)</f>
        <v>0</v>
      </c>
    </row>
    <row r="266" spans="1:27" s="52" customFormat="1" hidden="1" x14ac:dyDescent="0.25">
      <c r="B266" s="103"/>
      <c r="C266" s="87" t="e">
        <v>#N/A</v>
      </c>
      <c r="D266" s="87" t="e">
        <v>#N/A</v>
      </c>
      <c r="E266" s="86"/>
      <c r="F266" s="89"/>
      <c r="G266" s="89"/>
      <c r="H266" s="89"/>
      <c r="I266" s="88"/>
      <c r="J266" s="88"/>
      <c r="K266" s="88"/>
      <c r="L266" s="88"/>
      <c r="M266" s="88"/>
      <c r="N266" s="88"/>
      <c r="O266" s="86"/>
      <c r="P266" s="86"/>
      <c r="Q266" s="14" t="e">
        <v>#N/A</v>
      </c>
      <c r="R266" s="14" t="e">
        <v>#N/A</v>
      </c>
      <c r="S266" s="14"/>
      <c r="T266" s="90"/>
      <c r="U266" s="14"/>
      <c r="V266" s="14"/>
      <c r="W266" s="14"/>
      <c r="X266" s="86"/>
      <c r="Y266" s="59">
        <f ca="1">Table25[[#This Row],[End Date]]+2-TODAY()</f>
        <v>-45816</v>
      </c>
      <c r="Z266" s="14">
        <f>IF(ISBLANK(Table25[[#This Row],[Roster Received By]]),1,0)</f>
        <v>1</v>
      </c>
      <c r="AA266" s="14">
        <f ca="1">IF(Table25[[#This Row],[Start Date]]&gt;TODAY(),1,)</f>
        <v>0</v>
      </c>
    </row>
    <row r="267" spans="1:27" s="93" customFormat="1" ht="15.75" hidden="1" customHeight="1" x14ac:dyDescent="0.25">
      <c r="A267" s="52"/>
      <c r="B267" s="103"/>
      <c r="C267" s="87" t="e">
        <v>#N/A</v>
      </c>
      <c r="D267" s="87" t="e">
        <v>#N/A</v>
      </c>
      <c r="E267" s="86"/>
      <c r="F267" s="89"/>
      <c r="G267" s="89"/>
      <c r="H267" s="89"/>
      <c r="I267" s="88"/>
      <c r="J267" s="88"/>
      <c r="K267" s="88"/>
      <c r="L267" s="88"/>
      <c r="M267" s="88"/>
      <c r="N267" s="88"/>
      <c r="O267" s="86"/>
      <c r="P267" s="86"/>
      <c r="Q267" s="14" t="e">
        <v>#N/A</v>
      </c>
      <c r="R267" s="14" t="e">
        <v>#N/A</v>
      </c>
      <c r="S267" s="14"/>
      <c r="T267" s="90"/>
      <c r="U267" s="14"/>
      <c r="V267" s="14"/>
      <c r="W267" s="87"/>
      <c r="X267" s="86"/>
      <c r="Y267" s="59">
        <f ca="1">Table25[[#This Row],[End Date]]+2-TODAY()</f>
        <v>-45816</v>
      </c>
      <c r="Z267" s="14">
        <f>IF(ISBLANK(Table25[[#This Row],[Roster Received By]]),1,0)</f>
        <v>1</v>
      </c>
      <c r="AA267" s="14">
        <f ca="1">IF(Table25[[#This Row],[Start Date]]&gt;TODAY(),1,)</f>
        <v>0</v>
      </c>
    </row>
    <row r="268" spans="1:27" s="93" customFormat="1" ht="14.45" hidden="1" customHeight="1" x14ac:dyDescent="0.25">
      <c r="A268" s="52"/>
      <c r="B268" s="103"/>
      <c r="C268" s="87" t="e">
        <v>#N/A</v>
      </c>
      <c r="D268" s="87" t="e">
        <v>#N/A</v>
      </c>
      <c r="E268" s="54"/>
      <c r="F268" s="89"/>
      <c r="G268" s="89"/>
      <c r="H268" s="95"/>
      <c r="I268" s="95"/>
      <c r="J268" s="89"/>
      <c r="K268" s="89"/>
      <c r="L268" s="89"/>
      <c r="M268" s="89"/>
      <c r="N268" s="89"/>
      <c r="O268" s="86"/>
      <c r="P268" s="86"/>
      <c r="Q268" s="14" t="e">
        <v>#N/A</v>
      </c>
      <c r="R268" s="14" t="e">
        <v>#N/A</v>
      </c>
      <c r="S268" s="14"/>
      <c r="T268" s="90"/>
      <c r="U268" s="14"/>
      <c r="V268" s="14"/>
      <c r="W268" s="14"/>
      <c r="X268" s="86"/>
      <c r="Y268" s="59">
        <f ca="1">Table25[[#This Row],[End Date]]+2-TODAY()</f>
        <v>-45816</v>
      </c>
      <c r="Z268" s="14">
        <f>IF(ISBLANK(Table25[[#This Row],[Roster Received By]]),1,0)</f>
        <v>1</v>
      </c>
      <c r="AA268" s="14">
        <f ca="1">IF(Table25[[#This Row],[Start Date]]&gt;TODAY(),1,)</f>
        <v>0</v>
      </c>
    </row>
    <row r="269" spans="1:27" s="93" customFormat="1" ht="15.75" hidden="1" customHeight="1" x14ac:dyDescent="0.25">
      <c r="A269" s="52"/>
      <c r="B269" s="103"/>
      <c r="C269" s="87" t="e">
        <v>#N/A</v>
      </c>
      <c r="D269" s="87" t="e">
        <v>#N/A</v>
      </c>
      <c r="E269" s="98"/>
      <c r="F269" s="56"/>
      <c r="G269" s="56"/>
      <c r="H269" s="95"/>
      <c r="I269" s="95"/>
      <c r="J269" s="89"/>
      <c r="K269" s="89"/>
      <c r="L269" s="89"/>
      <c r="M269" s="89"/>
      <c r="N269" s="89"/>
      <c r="O269" s="86"/>
      <c r="P269" s="86"/>
      <c r="Q269" s="14" t="e">
        <v>#N/A</v>
      </c>
      <c r="R269" s="14" t="e">
        <v>#N/A</v>
      </c>
      <c r="S269" s="14"/>
      <c r="T269" s="90"/>
      <c r="U269" s="14"/>
      <c r="V269" s="14"/>
      <c r="W269" s="14"/>
      <c r="X269" s="86"/>
      <c r="Y269" s="59">
        <f ca="1">Table25[[#This Row],[End Date]]+2-TODAY()</f>
        <v>-45816</v>
      </c>
      <c r="Z269" s="14">
        <f>IF(ISBLANK(Table25[[#This Row],[Roster Received By]]),1,0)</f>
        <v>1</v>
      </c>
      <c r="AA269" s="14">
        <f ca="1">IF(Table25[[#This Row],[Start Date]]&gt;TODAY(),1,)</f>
        <v>0</v>
      </c>
    </row>
    <row r="270" spans="1:27" s="93" customFormat="1" ht="15.75" hidden="1" customHeight="1" x14ac:dyDescent="0.25">
      <c r="A270" s="52"/>
      <c r="B270" s="103"/>
      <c r="C270" s="87" t="e">
        <v>#N/A</v>
      </c>
      <c r="D270" s="87" t="e">
        <v>#N/A</v>
      </c>
      <c r="E270" s="86"/>
      <c r="F270" s="89"/>
      <c r="G270" s="89"/>
      <c r="H270" s="92"/>
      <c r="I270" s="92"/>
      <c r="J270" s="92"/>
      <c r="K270" s="92"/>
      <c r="L270" s="92"/>
      <c r="M270" s="92"/>
      <c r="N270" s="89"/>
      <c r="O270" s="86"/>
      <c r="P270" s="86"/>
      <c r="Q270" s="14" t="e">
        <v>#N/A</v>
      </c>
      <c r="R270" s="14" t="e">
        <v>#N/A</v>
      </c>
      <c r="S270" s="14"/>
      <c r="T270" s="90"/>
      <c r="U270" s="14"/>
      <c r="V270" s="14"/>
      <c r="W270" s="14"/>
      <c r="X270" s="86"/>
      <c r="Y270" s="59">
        <f ca="1">Table25[[#This Row],[End Date]]+2-TODAY()</f>
        <v>-45816</v>
      </c>
      <c r="Z270" s="14">
        <f>IF(ISBLANK(Table25[[#This Row],[Roster Received By]]),1,0)</f>
        <v>1</v>
      </c>
      <c r="AA270" s="14">
        <f ca="1">IF(Table25[[#This Row],[Start Date]]&gt;TODAY(),1,)</f>
        <v>0</v>
      </c>
    </row>
    <row r="271" spans="1:27" s="93" customFormat="1" ht="15.75" hidden="1" customHeight="1" x14ac:dyDescent="0.25">
      <c r="A271" s="54"/>
      <c r="B271" s="103"/>
      <c r="C271" s="87" t="e">
        <v>#N/A</v>
      </c>
      <c r="D271" s="87" t="e">
        <v>#N/A</v>
      </c>
      <c r="E271" s="86"/>
      <c r="F271" s="89"/>
      <c r="G271" s="89"/>
      <c r="H271" s="95"/>
      <c r="I271" s="95"/>
      <c r="J271" s="89"/>
      <c r="K271" s="89"/>
      <c r="L271" s="89"/>
      <c r="M271" s="89"/>
      <c r="N271" s="89"/>
      <c r="O271" s="86"/>
      <c r="P271" s="86"/>
      <c r="Q271" s="14" t="e">
        <v>#N/A</v>
      </c>
      <c r="R271" s="14" t="e">
        <v>#N/A</v>
      </c>
      <c r="S271" s="14"/>
      <c r="T271" s="90"/>
      <c r="U271" s="14"/>
      <c r="V271" s="14"/>
      <c r="W271" s="14"/>
      <c r="X271" s="86"/>
      <c r="Y271" s="59">
        <f ca="1">Table25[[#This Row],[End Date]]+2-TODAY()</f>
        <v>-45816</v>
      </c>
      <c r="Z271" s="14">
        <f>IF(ISBLANK(Table25[[#This Row],[Roster Received By]]),1,0)</f>
        <v>1</v>
      </c>
      <c r="AA271" s="14">
        <f ca="1">IF(Table25[[#This Row],[Start Date]]&gt;TODAY(),1,)</f>
        <v>0</v>
      </c>
    </row>
    <row r="272" spans="1:27" s="93" customFormat="1" ht="15.75" hidden="1" customHeight="1" x14ac:dyDescent="0.25">
      <c r="A272" s="52"/>
      <c r="B272" s="103"/>
      <c r="C272" s="87" t="e">
        <v>#N/A</v>
      </c>
      <c r="D272" s="87" t="e">
        <v>#N/A</v>
      </c>
      <c r="E272" s="54"/>
      <c r="F272" s="89"/>
      <c r="G272" s="89"/>
      <c r="H272" s="92"/>
      <c r="I272" s="92"/>
      <c r="J272" s="89"/>
      <c r="K272" s="89"/>
      <c r="L272" s="89"/>
      <c r="M272" s="89"/>
      <c r="N272" s="89"/>
      <c r="O272" s="86"/>
      <c r="P272" s="86"/>
      <c r="Q272" s="14" t="e">
        <v>#N/A</v>
      </c>
      <c r="R272" s="14" t="e">
        <v>#N/A</v>
      </c>
      <c r="S272" s="14"/>
      <c r="T272" s="90"/>
      <c r="U272" s="14"/>
      <c r="V272" s="14"/>
      <c r="W272" s="14"/>
      <c r="X272" s="86"/>
      <c r="Y272" s="59">
        <f ca="1">Table25[[#This Row],[End Date]]+2-TODAY()</f>
        <v>-45816</v>
      </c>
      <c r="Z272" s="14">
        <f>IF(ISBLANK(Table25[[#This Row],[Roster Received By]]),1,0)</f>
        <v>1</v>
      </c>
      <c r="AA272" s="14">
        <f ca="1">IF(Table25[[#This Row],[Start Date]]&gt;TODAY(),1,)</f>
        <v>0</v>
      </c>
    </row>
    <row r="273" spans="1:27" s="93" customFormat="1" ht="15.75" hidden="1" customHeight="1" x14ac:dyDescent="0.25">
      <c r="A273" s="86"/>
      <c r="B273" s="103"/>
      <c r="C273" s="87" t="e">
        <v>#N/A</v>
      </c>
      <c r="D273" s="87" t="e">
        <v>#N/A</v>
      </c>
      <c r="E273" s="86"/>
      <c r="F273" s="89"/>
      <c r="G273" s="89"/>
      <c r="H273" s="92"/>
      <c r="I273" s="92"/>
      <c r="J273" s="89"/>
      <c r="K273" s="89"/>
      <c r="L273" s="89"/>
      <c r="M273" s="89"/>
      <c r="N273" s="89"/>
      <c r="O273" s="86"/>
      <c r="P273" s="86"/>
      <c r="Q273" s="14" t="e">
        <v>#N/A</v>
      </c>
      <c r="R273" s="14" t="e">
        <v>#N/A</v>
      </c>
      <c r="S273" s="14"/>
      <c r="T273" s="90"/>
      <c r="U273" s="14"/>
      <c r="V273" s="14"/>
      <c r="W273" s="14"/>
      <c r="X273" s="86"/>
      <c r="Y273" s="59">
        <f ca="1">Table25[[#This Row],[End Date]]+2-TODAY()</f>
        <v>-45816</v>
      </c>
      <c r="Z273" s="14">
        <f>IF(ISBLANK(Table25[[#This Row],[Roster Received By]]),1,0)</f>
        <v>1</v>
      </c>
      <c r="AA273" s="14">
        <f ca="1">IF(Table25[[#This Row],[Start Date]]&gt;TODAY(),1,)</f>
        <v>0</v>
      </c>
    </row>
    <row r="274" spans="1:27" s="93" customFormat="1" ht="15.75" hidden="1" customHeight="1" x14ac:dyDescent="0.25">
      <c r="A274" s="52"/>
      <c r="B274" s="103"/>
      <c r="C274" s="87" t="e">
        <v>#N/A</v>
      </c>
      <c r="D274" s="87" t="e">
        <v>#N/A</v>
      </c>
      <c r="E274" s="54"/>
      <c r="F274" s="89"/>
      <c r="G274" s="89"/>
      <c r="H274" s="92"/>
      <c r="I274" s="88"/>
      <c r="J274" s="88"/>
      <c r="K274" s="88"/>
      <c r="L274" s="88"/>
      <c r="M274" s="88"/>
      <c r="N274" s="88"/>
      <c r="O274" s="86"/>
      <c r="P274" s="86"/>
      <c r="Q274" s="14" t="e">
        <v>#N/A</v>
      </c>
      <c r="R274" s="14" t="e">
        <v>#N/A</v>
      </c>
      <c r="S274" s="14"/>
      <c r="T274" s="90"/>
      <c r="U274" s="14"/>
      <c r="V274" s="14"/>
      <c r="W274" s="14"/>
      <c r="X274" s="86"/>
      <c r="Y274" s="59">
        <f ca="1">Table25[[#This Row],[End Date]]+2-TODAY()</f>
        <v>-45816</v>
      </c>
      <c r="Z274" s="14">
        <f>IF(ISBLANK(Table25[[#This Row],[Roster Received By]]),1,0)</f>
        <v>1</v>
      </c>
      <c r="AA274" s="14">
        <f ca="1">IF(Table25[[#This Row],[Start Date]]&gt;TODAY(),1,)</f>
        <v>0</v>
      </c>
    </row>
    <row r="275" spans="1:27" s="93" customFormat="1" ht="15.75" hidden="1" customHeight="1" x14ac:dyDescent="0.25">
      <c r="A275" s="86"/>
      <c r="B275" s="103"/>
      <c r="C275" s="87" t="e">
        <v>#N/A</v>
      </c>
      <c r="D275" s="87" t="e">
        <v>#N/A</v>
      </c>
      <c r="E275" s="86"/>
      <c r="F275" s="89"/>
      <c r="G275" s="89"/>
      <c r="H275" s="92"/>
      <c r="I275" s="92"/>
      <c r="J275" s="89"/>
      <c r="K275" s="89"/>
      <c r="L275" s="89"/>
      <c r="M275" s="89"/>
      <c r="N275" s="89"/>
      <c r="O275" s="86"/>
      <c r="P275" s="86"/>
      <c r="Q275" s="14" t="e">
        <v>#N/A</v>
      </c>
      <c r="R275" s="14" t="e">
        <v>#N/A</v>
      </c>
      <c r="S275" s="14"/>
      <c r="T275" s="90"/>
      <c r="U275" s="14"/>
      <c r="V275" s="14"/>
      <c r="W275" s="87"/>
      <c r="X275" s="86"/>
      <c r="Y275" s="59">
        <f ca="1">Table25[[#This Row],[End Date]]+2-TODAY()</f>
        <v>-45816</v>
      </c>
      <c r="Z275" s="14">
        <f>IF(ISBLANK(Table25[[#This Row],[Roster Received By]]),1,0)</f>
        <v>1</v>
      </c>
      <c r="AA275" s="14">
        <f ca="1">IF(Table25[[#This Row],[Start Date]]&gt;TODAY(),1,)</f>
        <v>0</v>
      </c>
    </row>
    <row r="276" spans="1:27" s="93" customFormat="1" ht="15.75" hidden="1" customHeight="1" x14ac:dyDescent="0.25">
      <c r="A276" s="52"/>
      <c r="B276" s="103"/>
      <c r="C276" s="87" t="e">
        <v>#N/A</v>
      </c>
      <c r="D276" s="87" t="e">
        <v>#N/A</v>
      </c>
      <c r="E276" s="54"/>
      <c r="F276" s="56"/>
      <c r="G276" s="89"/>
      <c r="H276" s="92"/>
      <c r="I276" s="92"/>
      <c r="J276" s="89"/>
      <c r="K276" s="89"/>
      <c r="L276" s="89"/>
      <c r="M276" s="89"/>
      <c r="N276" s="89"/>
      <c r="O276" s="86"/>
      <c r="P276" s="86"/>
      <c r="Q276" s="14" t="e">
        <v>#N/A</v>
      </c>
      <c r="R276" s="14" t="e">
        <v>#N/A</v>
      </c>
      <c r="S276" s="14"/>
      <c r="T276" s="90"/>
      <c r="U276" s="14"/>
      <c r="V276" s="14"/>
      <c r="W276" s="14"/>
      <c r="X276" s="86"/>
      <c r="Y276" s="59">
        <f ca="1">Table25[[#This Row],[End Date]]+2-TODAY()</f>
        <v>-45816</v>
      </c>
      <c r="Z276" s="14">
        <f>IF(ISBLANK(Table25[[#This Row],[Roster Received By]]),1,0)</f>
        <v>1</v>
      </c>
      <c r="AA276" s="14">
        <f ca="1">IF(Table25[[#This Row],[Start Date]]&gt;TODAY(),1,)</f>
        <v>0</v>
      </c>
    </row>
    <row r="277" spans="1:27" s="93" customFormat="1" ht="15.75" hidden="1" customHeight="1" x14ac:dyDescent="0.25">
      <c r="A277" s="86"/>
      <c r="B277" s="103"/>
      <c r="C277" s="87" t="e">
        <v>#N/A</v>
      </c>
      <c r="D277" s="87" t="e">
        <v>#N/A</v>
      </c>
      <c r="E277" s="86"/>
      <c r="F277" s="89"/>
      <c r="G277" s="89"/>
      <c r="H277" s="89"/>
      <c r="I277" s="88"/>
      <c r="J277" s="88"/>
      <c r="K277" s="88"/>
      <c r="L277" s="88"/>
      <c r="M277" s="88"/>
      <c r="N277" s="88"/>
      <c r="O277" s="86"/>
      <c r="P277" s="86"/>
      <c r="Q277" s="14" t="e">
        <v>#N/A</v>
      </c>
      <c r="R277" s="14" t="e">
        <v>#N/A</v>
      </c>
      <c r="S277" s="14"/>
      <c r="T277" s="90"/>
      <c r="U277" s="14"/>
      <c r="V277" s="14"/>
      <c r="W277" s="14"/>
      <c r="X277" s="86"/>
      <c r="Y277" s="59">
        <f ca="1">Table25[[#This Row],[End Date]]+2-TODAY()</f>
        <v>-45816</v>
      </c>
      <c r="Z277" s="14">
        <f>IF(ISBLANK(Table25[[#This Row],[Roster Received By]]),1,0)</f>
        <v>1</v>
      </c>
      <c r="AA277" s="14">
        <f ca="1">IF(Table25[[#This Row],[Start Date]]&gt;TODAY(),1,)</f>
        <v>0</v>
      </c>
    </row>
    <row r="278" spans="1:27" s="93" customFormat="1" ht="15.75" hidden="1" customHeight="1" x14ac:dyDescent="0.25">
      <c r="A278" s="52"/>
      <c r="B278" s="104"/>
      <c r="C278" s="87" t="e">
        <v>#N/A</v>
      </c>
      <c r="D278" s="87" t="e">
        <v>#N/A</v>
      </c>
      <c r="E278" s="86"/>
      <c r="F278" s="89"/>
      <c r="G278" s="89"/>
      <c r="H278" s="89"/>
      <c r="I278" s="88"/>
      <c r="J278" s="88"/>
      <c r="K278" s="88"/>
      <c r="L278" s="88"/>
      <c r="M278" s="88"/>
      <c r="N278" s="88"/>
      <c r="O278" s="86"/>
      <c r="P278" s="86"/>
      <c r="Q278" s="14" t="e">
        <v>#N/A</v>
      </c>
      <c r="R278" s="14" t="e">
        <v>#N/A</v>
      </c>
      <c r="S278" s="14"/>
      <c r="T278" s="90"/>
      <c r="U278" s="14"/>
      <c r="V278" s="14"/>
      <c r="W278" s="14"/>
      <c r="X278" s="86"/>
      <c r="Y278" s="59">
        <f ca="1">Table25[[#This Row],[End Date]]+2-TODAY()</f>
        <v>-45816</v>
      </c>
      <c r="Z278" s="14">
        <f>IF(ISBLANK(Table25[[#This Row],[Roster Received By]]),1,0)</f>
        <v>1</v>
      </c>
      <c r="AA278" s="14">
        <f ca="1">IF(Table25[[#This Row],[Start Date]]&gt;TODAY(),1,)</f>
        <v>0</v>
      </c>
    </row>
    <row r="279" spans="1:27" s="93" customFormat="1" ht="15.75" hidden="1" customHeight="1" x14ac:dyDescent="0.25">
      <c r="A279" s="52"/>
      <c r="B279" s="104"/>
      <c r="C279" s="87" t="e">
        <v>#N/A</v>
      </c>
      <c r="D279" s="87" t="e">
        <v>#N/A</v>
      </c>
      <c r="E279" s="86"/>
      <c r="F279" s="89"/>
      <c r="G279" s="89"/>
      <c r="H279" s="89"/>
      <c r="I279" s="88"/>
      <c r="J279" s="88"/>
      <c r="K279" s="88"/>
      <c r="L279" s="88"/>
      <c r="M279" s="88"/>
      <c r="N279" s="88"/>
      <c r="O279" s="86"/>
      <c r="P279" s="86"/>
      <c r="Q279" s="14" t="e">
        <v>#N/A</v>
      </c>
      <c r="R279" s="14" t="e">
        <v>#N/A</v>
      </c>
      <c r="S279" s="14"/>
      <c r="T279" s="90"/>
      <c r="U279" s="14"/>
      <c r="V279" s="14"/>
      <c r="W279" s="94"/>
      <c r="X279" s="86"/>
      <c r="Y279" s="59">
        <f ca="1">Table25[[#This Row],[End Date]]+2-TODAY()</f>
        <v>-45816</v>
      </c>
      <c r="Z279" s="14">
        <f>IF(ISBLANK(Table25[[#This Row],[Roster Received By]]),1,0)</f>
        <v>1</v>
      </c>
      <c r="AA279" s="14">
        <f ca="1">IF(Table25[[#This Row],[Start Date]]&gt;TODAY(),1,)</f>
        <v>0</v>
      </c>
    </row>
    <row r="280" spans="1:27" s="93" customFormat="1" ht="15.75" hidden="1" customHeight="1" x14ac:dyDescent="0.25">
      <c r="A280" s="52"/>
      <c r="B280" s="104"/>
      <c r="C280" s="87" t="e">
        <v>#N/A</v>
      </c>
      <c r="D280" s="87" t="e">
        <v>#N/A</v>
      </c>
      <c r="E280" s="86"/>
      <c r="F280" s="89"/>
      <c r="G280" s="89"/>
      <c r="H280" s="92"/>
      <c r="I280" s="92"/>
      <c r="J280" s="92"/>
      <c r="K280" s="92"/>
      <c r="L280" s="92"/>
      <c r="M280" s="92"/>
      <c r="N280" s="89"/>
      <c r="O280" s="86"/>
      <c r="P280" s="86"/>
      <c r="Q280" s="14" t="e">
        <v>#N/A</v>
      </c>
      <c r="R280" s="14" t="e">
        <v>#N/A</v>
      </c>
      <c r="S280" s="14"/>
      <c r="T280" s="90"/>
      <c r="U280" s="14"/>
      <c r="V280" s="14"/>
      <c r="W280" s="14"/>
      <c r="X280" s="86"/>
      <c r="Y280" s="59">
        <f ca="1">Table25[[#This Row],[End Date]]+2-TODAY()</f>
        <v>-45816</v>
      </c>
      <c r="Z280" s="14">
        <f>IF(ISBLANK(Table25[[#This Row],[Roster Received By]]),1,0)</f>
        <v>1</v>
      </c>
      <c r="AA280" s="14">
        <f ca="1">IF(Table25[[#This Row],[Start Date]]&gt;TODAY(),1,)</f>
        <v>0</v>
      </c>
    </row>
    <row r="281" spans="1:27" s="52" customFormat="1" hidden="1" x14ac:dyDescent="0.25">
      <c r="B281" s="103"/>
      <c r="C281" s="87" t="e">
        <v>#N/A</v>
      </c>
      <c r="D281" s="87" t="e">
        <v>#N/A</v>
      </c>
      <c r="E281" s="86"/>
      <c r="F281" s="89"/>
      <c r="G281" s="89"/>
      <c r="H281" s="89"/>
      <c r="I281" s="88"/>
      <c r="J281" s="88"/>
      <c r="K281" s="88"/>
      <c r="L281" s="88"/>
      <c r="M281" s="88"/>
      <c r="N281" s="88"/>
      <c r="O281" s="86"/>
      <c r="P281" s="86"/>
      <c r="Q281" s="14" t="e">
        <v>#N/A</v>
      </c>
      <c r="R281" s="14" t="e">
        <v>#N/A</v>
      </c>
      <c r="S281" s="14"/>
      <c r="T281" s="90"/>
      <c r="U281" s="14"/>
      <c r="V281" s="14"/>
      <c r="W281" s="14"/>
      <c r="X281" s="86"/>
      <c r="Y281" s="59">
        <f ca="1">Table25[[#This Row],[End Date]]+2-TODAY()</f>
        <v>-45816</v>
      </c>
      <c r="Z281" s="14">
        <f>IF(ISBLANK(Table25[[#This Row],[Roster Received By]]),1,0)</f>
        <v>1</v>
      </c>
      <c r="AA281" s="14">
        <f ca="1">IF(Table25[[#This Row],[Start Date]]&gt;TODAY(),1,)</f>
        <v>0</v>
      </c>
    </row>
    <row r="282" spans="1:27" s="52" customFormat="1" hidden="1" x14ac:dyDescent="0.25">
      <c r="B282" s="103"/>
      <c r="C282" s="87" t="e">
        <v>#N/A</v>
      </c>
      <c r="D282" s="87" t="e">
        <v>#N/A</v>
      </c>
      <c r="E282" s="86"/>
      <c r="F282" s="89"/>
      <c r="G282" s="89"/>
      <c r="H282" s="89"/>
      <c r="I282" s="88"/>
      <c r="J282" s="88"/>
      <c r="K282" s="88"/>
      <c r="L282" s="88"/>
      <c r="M282" s="88"/>
      <c r="N282" s="88"/>
      <c r="O282" s="86"/>
      <c r="P282" s="86"/>
      <c r="Q282" s="14" t="e">
        <v>#N/A</v>
      </c>
      <c r="R282" s="14" t="e">
        <v>#N/A</v>
      </c>
      <c r="S282" s="14"/>
      <c r="T282" s="90"/>
      <c r="U282" s="14"/>
      <c r="V282" s="14"/>
      <c r="W282" s="14"/>
      <c r="X282" s="86"/>
      <c r="Y282" s="59">
        <f ca="1">Table25[[#This Row],[End Date]]+2-TODAY()</f>
        <v>-45816</v>
      </c>
      <c r="Z282" s="14">
        <f>IF(ISBLANK(Table25[[#This Row],[Roster Received By]]),1,0)</f>
        <v>1</v>
      </c>
      <c r="AA282" s="14">
        <f ca="1">IF(Table25[[#This Row],[Start Date]]&gt;TODAY(),1,)</f>
        <v>0</v>
      </c>
    </row>
    <row r="283" spans="1:27" s="52" customFormat="1" hidden="1" x14ac:dyDescent="0.25">
      <c r="B283" s="104"/>
      <c r="C283" s="87" t="e">
        <v>#N/A</v>
      </c>
      <c r="D283" s="87" t="e">
        <v>#N/A</v>
      </c>
      <c r="E283" s="86"/>
      <c r="F283" s="89"/>
      <c r="G283" s="89"/>
      <c r="H283" s="89"/>
      <c r="I283" s="88"/>
      <c r="J283" s="88"/>
      <c r="K283" s="88"/>
      <c r="L283" s="88"/>
      <c r="M283" s="88"/>
      <c r="N283" s="88"/>
      <c r="O283" s="86"/>
      <c r="P283" s="86"/>
      <c r="Q283" s="14" t="e">
        <v>#N/A</v>
      </c>
      <c r="R283" s="14" t="e">
        <v>#N/A</v>
      </c>
      <c r="S283" s="14"/>
      <c r="T283" s="90"/>
      <c r="U283" s="14"/>
      <c r="V283" s="14"/>
      <c r="W283" s="14"/>
      <c r="X283" s="86"/>
      <c r="Y283" s="59">
        <f ca="1">Table25[[#This Row],[End Date]]+2-TODAY()</f>
        <v>-45816</v>
      </c>
      <c r="Z283" s="14">
        <f>IF(ISBLANK(Table25[[#This Row],[Roster Received By]]),1,0)</f>
        <v>1</v>
      </c>
      <c r="AA283" s="14">
        <f ca="1">IF(Table25[[#This Row],[Start Date]]&gt;TODAY(),1,)</f>
        <v>0</v>
      </c>
    </row>
    <row r="284" spans="1:27" s="52" customFormat="1" hidden="1" x14ac:dyDescent="0.25">
      <c r="B284" s="104"/>
      <c r="C284" s="87" t="e">
        <v>#N/A</v>
      </c>
      <c r="D284" s="87" t="e">
        <v>#N/A</v>
      </c>
      <c r="E284" s="86"/>
      <c r="F284" s="56"/>
      <c r="G284" s="56"/>
      <c r="H284" s="56"/>
      <c r="I284" s="88"/>
      <c r="J284" s="88"/>
      <c r="K284" s="88"/>
      <c r="L284" s="88"/>
      <c r="M284" s="88"/>
      <c r="N284" s="88"/>
      <c r="O284" s="86"/>
      <c r="P284" s="86"/>
      <c r="Q284" s="14" t="e">
        <v>#N/A</v>
      </c>
      <c r="R284" s="14" t="e">
        <v>#N/A</v>
      </c>
      <c r="S284" s="14"/>
      <c r="T284" s="90"/>
      <c r="U284" s="14"/>
      <c r="V284" s="14"/>
      <c r="W284" s="90"/>
      <c r="X284" s="86"/>
      <c r="Y284" s="59">
        <f ca="1">Table25[[#This Row],[End Date]]+2-TODAY()</f>
        <v>-45816</v>
      </c>
      <c r="Z284" s="14">
        <f>IF(ISBLANK(Table25[[#This Row],[Roster Received By]]),1,0)</f>
        <v>1</v>
      </c>
      <c r="AA284" s="14">
        <f ca="1">IF(Table25[[#This Row],[Start Date]]&gt;TODAY(),1,)</f>
        <v>0</v>
      </c>
    </row>
    <row r="285" spans="1:27" s="52" customFormat="1" hidden="1" x14ac:dyDescent="0.25">
      <c r="B285" s="103"/>
      <c r="C285" s="87" t="e">
        <v>#N/A</v>
      </c>
      <c r="D285" s="87" t="e">
        <v>#N/A</v>
      </c>
      <c r="E285" s="86"/>
      <c r="F285" s="89"/>
      <c r="G285" s="89"/>
      <c r="H285" s="92"/>
      <c r="I285" s="92"/>
      <c r="J285" s="92"/>
      <c r="K285" s="92"/>
      <c r="L285" s="92"/>
      <c r="M285" s="92"/>
      <c r="N285" s="92"/>
      <c r="O285" s="86"/>
      <c r="P285" s="86"/>
      <c r="Q285" s="14" t="e">
        <v>#N/A</v>
      </c>
      <c r="R285" s="14" t="e">
        <v>#N/A</v>
      </c>
      <c r="S285" s="14"/>
      <c r="T285" s="90"/>
      <c r="U285" s="14"/>
      <c r="V285" s="14"/>
      <c r="W285" s="14"/>
      <c r="X285" s="86"/>
      <c r="Y285" s="59">
        <f ca="1">Table25[[#This Row],[End Date]]+2-TODAY()</f>
        <v>-45816</v>
      </c>
      <c r="Z285" s="14">
        <f>IF(ISBLANK(Table25[[#This Row],[Roster Received By]]),1,0)</f>
        <v>1</v>
      </c>
      <c r="AA285" s="14">
        <f ca="1">IF(Table25[[#This Row],[Start Date]]&gt;TODAY(),1,)</f>
        <v>0</v>
      </c>
    </row>
    <row r="286" spans="1:27" s="52" customFormat="1" hidden="1" x14ac:dyDescent="0.25">
      <c r="B286" s="103"/>
      <c r="C286" s="87" t="e">
        <v>#N/A</v>
      </c>
      <c r="D286" s="87" t="e">
        <v>#N/A</v>
      </c>
      <c r="E286" s="86"/>
      <c r="F286" s="56"/>
      <c r="G286" s="89"/>
      <c r="H286" s="89"/>
      <c r="I286" s="88"/>
      <c r="J286" s="88"/>
      <c r="K286" s="88"/>
      <c r="L286" s="88"/>
      <c r="M286" s="88"/>
      <c r="N286" s="88"/>
      <c r="O286" s="86"/>
      <c r="P286" s="86"/>
      <c r="Q286" s="14" t="e">
        <v>#N/A</v>
      </c>
      <c r="R286" s="14" t="e">
        <v>#N/A</v>
      </c>
      <c r="S286" s="14"/>
      <c r="T286" s="90"/>
      <c r="U286" s="14"/>
      <c r="V286" s="14"/>
      <c r="W286" s="14"/>
      <c r="X286" s="86"/>
      <c r="Y286" s="59">
        <f ca="1">Table25[[#This Row],[End Date]]+2-TODAY()</f>
        <v>-45816</v>
      </c>
      <c r="Z286" s="14">
        <f>IF(ISBLANK(Table25[[#This Row],[Roster Received By]]),1,0)</f>
        <v>1</v>
      </c>
      <c r="AA286" s="14">
        <f ca="1">IF(Table25[[#This Row],[Start Date]]&gt;TODAY(),1,)</f>
        <v>0</v>
      </c>
    </row>
    <row r="287" spans="1:27" s="52" customFormat="1" hidden="1" x14ac:dyDescent="0.25">
      <c r="B287" s="104"/>
      <c r="C287" s="87" t="e">
        <v>#N/A</v>
      </c>
      <c r="D287" s="87" t="e">
        <v>#N/A</v>
      </c>
      <c r="E287" s="86"/>
      <c r="F287" s="89"/>
      <c r="G287" s="89"/>
      <c r="H287" s="92"/>
      <c r="I287" s="92"/>
      <c r="J287" s="89"/>
      <c r="K287" s="89"/>
      <c r="L287" s="89"/>
      <c r="M287" s="89"/>
      <c r="N287" s="89"/>
      <c r="O287" s="86"/>
      <c r="P287" s="86"/>
      <c r="Q287" s="14" t="e">
        <v>#N/A</v>
      </c>
      <c r="R287" s="14" t="e">
        <v>#N/A</v>
      </c>
      <c r="S287" s="14"/>
      <c r="T287" s="90"/>
      <c r="U287" s="14"/>
      <c r="V287" s="14"/>
      <c r="W287" s="14"/>
      <c r="X287" s="86"/>
      <c r="Y287" s="59">
        <f ca="1">Table25[[#This Row],[End Date]]+2-TODAY()</f>
        <v>-45816</v>
      </c>
      <c r="Z287" s="14">
        <f>IF(ISBLANK(Table25[[#This Row],[Roster Received By]]),1,0)</f>
        <v>1</v>
      </c>
      <c r="AA287" s="14">
        <f ca="1">IF(Table25[[#This Row],[Start Date]]&gt;TODAY(),1,)</f>
        <v>0</v>
      </c>
    </row>
    <row r="288" spans="1:27" s="52" customFormat="1" hidden="1" x14ac:dyDescent="0.25">
      <c r="A288" s="54"/>
      <c r="B288" s="104"/>
      <c r="C288" s="87" t="e">
        <v>#N/A</v>
      </c>
      <c r="D288" s="87" t="e">
        <v>#N/A</v>
      </c>
      <c r="E288" s="54"/>
      <c r="F288" s="89"/>
      <c r="G288" s="89"/>
      <c r="H288" s="92"/>
      <c r="I288" s="92"/>
      <c r="J288" s="89"/>
      <c r="K288" s="89"/>
      <c r="L288" s="89"/>
      <c r="M288" s="89"/>
      <c r="N288" s="89"/>
      <c r="O288" s="86"/>
      <c r="P288" s="86"/>
      <c r="Q288" s="14" t="e">
        <v>#N/A</v>
      </c>
      <c r="R288" s="14" t="e">
        <v>#N/A</v>
      </c>
      <c r="S288" s="14"/>
      <c r="T288" s="90"/>
      <c r="U288" s="14"/>
      <c r="V288" s="14"/>
      <c r="W288" s="14"/>
      <c r="X288" s="86"/>
      <c r="Y288" s="59">
        <f ca="1">Table25[[#This Row],[End Date]]+2-TODAY()</f>
        <v>-45816</v>
      </c>
      <c r="Z288" s="14">
        <f>IF(ISBLANK(Table25[[#This Row],[Roster Received By]]),1,0)</f>
        <v>1</v>
      </c>
      <c r="AA288" s="14">
        <f ca="1">IF(Table25[[#This Row],[Start Date]]&gt;TODAY(),1,)</f>
        <v>0</v>
      </c>
    </row>
    <row r="289" spans="2:27" s="52" customFormat="1" hidden="1" x14ac:dyDescent="0.25">
      <c r="B289" s="103"/>
      <c r="C289" s="87" t="e">
        <v>#N/A</v>
      </c>
      <c r="D289" s="87" t="e">
        <v>#N/A</v>
      </c>
      <c r="E289" s="86"/>
      <c r="F289" s="89"/>
      <c r="G289" s="89"/>
      <c r="H289" s="92"/>
      <c r="I289" s="92"/>
      <c r="J289" s="92"/>
      <c r="K289" s="92"/>
      <c r="L289" s="92"/>
      <c r="M289" s="92"/>
      <c r="N289" s="89"/>
      <c r="O289" s="86"/>
      <c r="P289" s="86"/>
      <c r="Q289" s="14" t="e">
        <v>#N/A</v>
      </c>
      <c r="R289" s="14" t="e">
        <v>#N/A</v>
      </c>
      <c r="S289" s="14"/>
      <c r="T289" s="90"/>
      <c r="U289" s="14"/>
      <c r="V289" s="14"/>
      <c r="W289" s="14"/>
      <c r="X289" s="86"/>
      <c r="Y289" s="59">
        <f ca="1">Table25[[#This Row],[End Date]]+2-TODAY()</f>
        <v>-45816</v>
      </c>
      <c r="Z289" s="14">
        <f>IF(ISBLANK(Table25[[#This Row],[Roster Received By]]),1,0)</f>
        <v>1</v>
      </c>
      <c r="AA289" s="14">
        <f ca="1">IF(Table25[[#This Row],[Start Date]]&gt;TODAY(),1,)</f>
        <v>0</v>
      </c>
    </row>
    <row r="290" spans="2:27" s="52" customFormat="1" hidden="1" x14ac:dyDescent="0.25">
      <c r="B290" s="103"/>
      <c r="C290" s="87" t="e">
        <v>#N/A</v>
      </c>
      <c r="D290" s="87" t="e">
        <v>#N/A</v>
      </c>
      <c r="E290" s="86"/>
      <c r="F290" s="89"/>
      <c r="G290" s="89"/>
      <c r="H290" s="92"/>
      <c r="I290" s="92"/>
      <c r="J290" s="92"/>
      <c r="K290" s="92"/>
      <c r="L290" s="92"/>
      <c r="M290" s="92"/>
      <c r="N290" s="89"/>
      <c r="O290" s="86"/>
      <c r="P290" s="86"/>
      <c r="Q290" s="14" t="e">
        <v>#N/A</v>
      </c>
      <c r="R290" s="14" t="e">
        <v>#N/A</v>
      </c>
      <c r="S290" s="14"/>
      <c r="T290" s="90"/>
      <c r="U290" s="14"/>
      <c r="V290" s="14"/>
      <c r="W290" s="87"/>
      <c r="X290" s="86"/>
      <c r="Y290" s="59">
        <f ca="1">Table25[[#This Row],[End Date]]+2-TODAY()</f>
        <v>-45816</v>
      </c>
      <c r="Z290" s="14">
        <f>IF(ISBLANK(Table25[[#This Row],[Roster Received By]]),1,0)</f>
        <v>1</v>
      </c>
      <c r="AA290" s="14">
        <f ca="1">IF(Table25[[#This Row],[Start Date]]&gt;TODAY(),1,)</f>
        <v>0</v>
      </c>
    </row>
    <row r="291" spans="2:27" s="52" customFormat="1" hidden="1" x14ac:dyDescent="0.25">
      <c r="B291" s="103"/>
      <c r="C291" s="87" t="e">
        <v>#N/A</v>
      </c>
      <c r="D291" s="87" t="e">
        <v>#N/A</v>
      </c>
      <c r="E291" s="86"/>
      <c r="F291" s="89"/>
      <c r="G291" s="89"/>
      <c r="H291" s="89"/>
      <c r="I291" s="88"/>
      <c r="J291" s="88"/>
      <c r="K291" s="88"/>
      <c r="L291" s="88"/>
      <c r="M291" s="88"/>
      <c r="N291" s="88"/>
      <c r="O291" s="86"/>
      <c r="P291" s="86"/>
      <c r="Q291" s="14" t="e">
        <v>#N/A</v>
      </c>
      <c r="R291" s="14" t="e">
        <v>#N/A</v>
      </c>
      <c r="S291" s="14"/>
      <c r="T291" s="90"/>
      <c r="U291" s="14"/>
      <c r="V291" s="14"/>
      <c r="W291" s="14"/>
      <c r="X291" s="86"/>
      <c r="Y291" s="59">
        <f ca="1">Table25[[#This Row],[End Date]]+2-TODAY()</f>
        <v>-45816</v>
      </c>
      <c r="Z291" s="14">
        <f>IF(ISBLANK(Table25[[#This Row],[Roster Received By]]),1,0)</f>
        <v>1</v>
      </c>
      <c r="AA291" s="14">
        <f ca="1">IF(Table25[[#This Row],[Start Date]]&gt;TODAY(),1,)</f>
        <v>0</v>
      </c>
    </row>
    <row r="292" spans="2:27" s="52" customFormat="1" hidden="1" x14ac:dyDescent="0.25">
      <c r="B292" s="103"/>
      <c r="C292" s="87" t="e">
        <v>#N/A</v>
      </c>
      <c r="D292" s="87" t="e">
        <v>#N/A</v>
      </c>
      <c r="E292" s="86"/>
      <c r="F292" s="89"/>
      <c r="G292" s="89"/>
      <c r="H292" s="89"/>
      <c r="I292" s="88"/>
      <c r="J292" s="88"/>
      <c r="K292" s="88"/>
      <c r="L292" s="88"/>
      <c r="M292" s="88"/>
      <c r="N292" s="88"/>
      <c r="O292" s="86"/>
      <c r="P292" s="86"/>
      <c r="Q292" s="14" t="e">
        <v>#N/A</v>
      </c>
      <c r="R292" s="14" t="e">
        <v>#N/A</v>
      </c>
      <c r="S292" s="14"/>
      <c r="T292" s="90"/>
      <c r="U292" s="14"/>
      <c r="V292" s="14"/>
      <c r="W292" s="14"/>
      <c r="X292" s="86"/>
      <c r="Y292" s="59">
        <f ca="1">Table25[[#This Row],[End Date]]+2-TODAY()</f>
        <v>-45816</v>
      </c>
      <c r="Z292" s="14">
        <f>IF(ISBLANK(Table25[[#This Row],[Roster Received By]]),1,0)</f>
        <v>1</v>
      </c>
      <c r="AA292" s="14">
        <f ca="1">IF(Table25[[#This Row],[Start Date]]&gt;TODAY(),1,)</f>
        <v>0</v>
      </c>
    </row>
    <row r="293" spans="2:27" s="52" customFormat="1" hidden="1" x14ac:dyDescent="0.25">
      <c r="B293" s="103"/>
      <c r="C293" s="87" t="e">
        <v>#N/A</v>
      </c>
      <c r="D293" s="87" t="e">
        <v>#N/A</v>
      </c>
      <c r="E293" s="86"/>
      <c r="F293" s="89"/>
      <c r="G293" s="89"/>
      <c r="H293" s="89"/>
      <c r="I293" s="88"/>
      <c r="J293" s="88"/>
      <c r="K293" s="88"/>
      <c r="L293" s="88"/>
      <c r="M293" s="88"/>
      <c r="N293" s="88"/>
      <c r="O293" s="86"/>
      <c r="P293" s="86"/>
      <c r="Q293" s="14" t="e">
        <v>#N/A</v>
      </c>
      <c r="R293" s="14" t="e">
        <v>#N/A</v>
      </c>
      <c r="S293" s="14"/>
      <c r="T293" s="90"/>
      <c r="U293" s="14"/>
      <c r="V293" s="14"/>
      <c r="W293" s="14"/>
      <c r="X293" s="86"/>
      <c r="Y293" s="59">
        <f ca="1">Table25[[#This Row],[End Date]]+2-TODAY()</f>
        <v>-45816</v>
      </c>
      <c r="Z293" s="14">
        <f>IF(ISBLANK(Table25[[#This Row],[Roster Received By]]),1,0)</f>
        <v>1</v>
      </c>
      <c r="AA293" s="14">
        <f ca="1">IF(Table25[[#This Row],[Start Date]]&gt;TODAY(),1,)</f>
        <v>0</v>
      </c>
    </row>
    <row r="294" spans="2:27" s="52" customFormat="1" hidden="1" x14ac:dyDescent="0.25">
      <c r="B294" s="103"/>
      <c r="C294" s="87" t="e">
        <v>#N/A</v>
      </c>
      <c r="D294" s="87" t="e">
        <v>#N/A</v>
      </c>
      <c r="E294" s="86"/>
      <c r="F294" s="89"/>
      <c r="G294" s="89"/>
      <c r="H294" s="89"/>
      <c r="I294" s="88"/>
      <c r="J294" s="88"/>
      <c r="K294" s="88"/>
      <c r="L294" s="88"/>
      <c r="M294" s="88"/>
      <c r="N294" s="88"/>
      <c r="O294" s="86"/>
      <c r="P294" s="86"/>
      <c r="Q294" s="14" t="e">
        <v>#N/A</v>
      </c>
      <c r="R294" s="14" t="e">
        <v>#N/A</v>
      </c>
      <c r="S294" s="14"/>
      <c r="T294" s="90"/>
      <c r="U294" s="14"/>
      <c r="V294" s="14"/>
      <c r="W294" s="14"/>
      <c r="X294" s="86"/>
      <c r="Y294" s="59">
        <f ca="1">Table25[[#This Row],[End Date]]+2-TODAY()</f>
        <v>-45816</v>
      </c>
      <c r="Z294" s="14">
        <f>IF(ISBLANK(Table25[[#This Row],[Roster Received By]]),1,0)</f>
        <v>1</v>
      </c>
      <c r="AA294" s="14">
        <f ca="1">IF(Table25[[#This Row],[Start Date]]&gt;TODAY(),1,)</f>
        <v>0</v>
      </c>
    </row>
    <row r="295" spans="2:27" s="52" customFormat="1" hidden="1" x14ac:dyDescent="0.25">
      <c r="B295" s="104"/>
      <c r="C295" s="87" t="e">
        <v>#N/A</v>
      </c>
      <c r="D295" s="87" t="e">
        <v>#N/A</v>
      </c>
      <c r="E295" s="86"/>
      <c r="F295" s="89"/>
      <c r="G295" s="89"/>
      <c r="H295" s="89"/>
      <c r="I295" s="88"/>
      <c r="J295" s="88"/>
      <c r="K295" s="88"/>
      <c r="L295" s="88"/>
      <c r="M295" s="88"/>
      <c r="N295" s="88"/>
      <c r="O295" s="86"/>
      <c r="P295" s="86"/>
      <c r="Q295" s="14" t="e">
        <v>#N/A</v>
      </c>
      <c r="R295" s="14" t="e">
        <v>#N/A</v>
      </c>
      <c r="S295" s="14"/>
      <c r="T295" s="90"/>
      <c r="U295" s="14"/>
      <c r="V295" s="14"/>
      <c r="W295" s="14"/>
      <c r="X295" s="86"/>
      <c r="Y295" s="59">
        <f ca="1">Table25[[#This Row],[End Date]]+2-TODAY()</f>
        <v>-45816</v>
      </c>
      <c r="Z295" s="14">
        <f>IF(ISBLANK(Table25[[#This Row],[Roster Received By]]),1,0)</f>
        <v>1</v>
      </c>
      <c r="AA295" s="14">
        <f ca="1">IF(Table25[[#This Row],[Start Date]]&gt;TODAY(),1,)</f>
        <v>0</v>
      </c>
    </row>
    <row r="296" spans="2:27" s="52" customFormat="1" hidden="1" x14ac:dyDescent="0.25">
      <c r="B296" s="104"/>
      <c r="C296" s="87" t="e">
        <v>#N/A</v>
      </c>
      <c r="D296" s="87" t="e">
        <v>#N/A</v>
      </c>
      <c r="E296" s="86"/>
      <c r="F296" s="89"/>
      <c r="G296" s="89"/>
      <c r="H296" s="95"/>
      <c r="I296" s="95"/>
      <c r="J296" s="89"/>
      <c r="K296" s="89"/>
      <c r="L296" s="89"/>
      <c r="M296" s="89"/>
      <c r="N296" s="89"/>
      <c r="O296" s="86"/>
      <c r="P296" s="86"/>
      <c r="Q296" s="14" t="e">
        <v>#N/A</v>
      </c>
      <c r="R296" s="14" t="e">
        <v>#N/A</v>
      </c>
      <c r="S296" s="14"/>
      <c r="T296" s="90"/>
      <c r="U296" s="14"/>
      <c r="V296" s="14"/>
      <c r="W296" s="14"/>
      <c r="X296" s="86"/>
      <c r="Y296" s="59">
        <f ca="1">Table25[[#This Row],[End Date]]+2-TODAY()</f>
        <v>-45816</v>
      </c>
      <c r="Z296" s="14">
        <f>IF(ISBLANK(Table25[[#This Row],[Roster Received By]]),1,0)</f>
        <v>1</v>
      </c>
      <c r="AA296" s="14">
        <f ca="1">IF(Table25[[#This Row],[Start Date]]&gt;TODAY(),1,)</f>
        <v>0</v>
      </c>
    </row>
    <row r="297" spans="2:27" s="52" customFormat="1" hidden="1" x14ac:dyDescent="0.25">
      <c r="B297" s="104"/>
      <c r="C297" s="87" t="e">
        <v>#N/A</v>
      </c>
      <c r="D297" s="87" t="e">
        <v>#N/A</v>
      </c>
      <c r="E297" s="86"/>
      <c r="F297" s="89"/>
      <c r="G297" s="89"/>
      <c r="H297" s="89"/>
      <c r="I297" s="88"/>
      <c r="J297" s="88"/>
      <c r="K297" s="88"/>
      <c r="L297" s="88"/>
      <c r="M297" s="88"/>
      <c r="N297" s="88"/>
      <c r="O297" s="86"/>
      <c r="P297" s="86"/>
      <c r="Q297" s="14" t="e">
        <v>#N/A</v>
      </c>
      <c r="R297" s="14" t="e">
        <v>#N/A</v>
      </c>
      <c r="S297" s="14"/>
      <c r="T297" s="90"/>
      <c r="U297" s="14"/>
      <c r="V297" s="14"/>
      <c r="W297" s="14"/>
      <c r="X297" s="86"/>
      <c r="Y297" s="59">
        <f ca="1">Table25[[#This Row],[End Date]]+2-TODAY()</f>
        <v>-45816</v>
      </c>
      <c r="Z297" s="14">
        <f>IF(ISBLANK(Table25[[#This Row],[Roster Received By]]),1,0)</f>
        <v>1</v>
      </c>
      <c r="AA297" s="14">
        <f ca="1">IF(Table25[[#This Row],[Start Date]]&gt;TODAY(),1,)</f>
        <v>0</v>
      </c>
    </row>
    <row r="298" spans="2:27" s="52" customFormat="1" hidden="1" x14ac:dyDescent="0.25">
      <c r="B298" s="104"/>
      <c r="C298" s="87" t="e">
        <v>#N/A</v>
      </c>
      <c r="D298" s="87" t="e">
        <v>#N/A</v>
      </c>
      <c r="E298" s="86"/>
      <c r="F298" s="89"/>
      <c r="G298" s="89"/>
      <c r="H298" s="89"/>
      <c r="I298" s="88"/>
      <c r="J298" s="88"/>
      <c r="K298" s="88"/>
      <c r="L298" s="88"/>
      <c r="M298" s="88"/>
      <c r="N298" s="88"/>
      <c r="O298" s="86"/>
      <c r="P298" s="86"/>
      <c r="Q298" s="14" t="e">
        <v>#N/A</v>
      </c>
      <c r="R298" s="14" t="e">
        <v>#N/A</v>
      </c>
      <c r="S298" s="14"/>
      <c r="T298" s="90"/>
      <c r="U298" s="14"/>
      <c r="V298" s="14"/>
      <c r="W298" s="90"/>
      <c r="X298" s="86"/>
      <c r="Y298" s="59">
        <f ca="1">Table25[[#This Row],[End Date]]+2-TODAY()</f>
        <v>-45816</v>
      </c>
      <c r="Z298" s="14">
        <f>IF(ISBLANK(Table25[[#This Row],[Roster Received By]]),1,0)</f>
        <v>1</v>
      </c>
      <c r="AA298" s="14">
        <f ca="1">IF(Table25[[#This Row],[Start Date]]&gt;TODAY(),1,)</f>
        <v>0</v>
      </c>
    </row>
    <row r="299" spans="2:27" s="52" customFormat="1" hidden="1" x14ac:dyDescent="0.25">
      <c r="B299" s="104"/>
      <c r="C299" s="87" t="e">
        <v>#N/A</v>
      </c>
      <c r="D299" s="87" t="e">
        <v>#N/A</v>
      </c>
      <c r="E299" s="86"/>
      <c r="F299" s="89"/>
      <c r="G299" s="89"/>
      <c r="H299" s="92"/>
      <c r="I299" s="92"/>
      <c r="J299" s="89"/>
      <c r="K299" s="89"/>
      <c r="L299" s="89"/>
      <c r="M299" s="89"/>
      <c r="N299" s="89"/>
      <c r="O299" s="86"/>
      <c r="P299" s="86"/>
      <c r="Q299" s="14" t="e">
        <v>#N/A</v>
      </c>
      <c r="R299" s="14" t="e">
        <v>#N/A</v>
      </c>
      <c r="S299" s="90"/>
      <c r="T299" s="90"/>
      <c r="U299" s="14"/>
      <c r="V299" s="14"/>
      <c r="W299" s="87"/>
      <c r="X299" s="86"/>
      <c r="Y299" s="96">
        <f ca="1">Table25[[#This Row],[End Date]]+2-TODAY()</f>
        <v>-45816</v>
      </c>
      <c r="Z299" s="14">
        <f>IF(ISBLANK(Table25[[#This Row],[Roster Received By]]),1,0)</f>
        <v>1</v>
      </c>
      <c r="AA299" s="87">
        <f ca="1">IF(Table25[[#This Row],[Start Date]]&gt;TODAY(),1,)</f>
        <v>0</v>
      </c>
    </row>
    <row r="300" spans="2:27" s="52" customFormat="1" hidden="1" x14ac:dyDescent="0.25">
      <c r="B300" s="104"/>
      <c r="C300" s="87" t="e">
        <v>#N/A</v>
      </c>
      <c r="D300" s="87" t="e">
        <v>#N/A</v>
      </c>
      <c r="E300" s="86"/>
      <c r="F300" s="89"/>
      <c r="G300" s="89"/>
      <c r="H300" s="92"/>
      <c r="I300" s="92"/>
      <c r="J300" s="89"/>
      <c r="K300" s="89"/>
      <c r="L300" s="89"/>
      <c r="M300" s="89"/>
      <c r="N300" s="89"/>
      <c r="O300" s="86"/>
      <c r="P300" s="86"/>
      <c r="Q300" s="14" t="e">
        <v>#N/A</v>
      </c>
      <c r="R300" s="14" t="e">
        <v>#N/A</v>
      </c>
      <c r="S300" s="14"/>
      <c r="T300" s="90"/>
      <c r="U300" s="14"/>
      <c r="V300" s="14"/>
      <c r="W300" s="14"/>
      <c r="X300" s="86"/>
      <c r="Y300" s="59">
        <f ca="1">Table25[[#This Row],[End Date]]+2-TODAY()</f>
        <v>-45816</v>
      </c>
      <c r="Z300" s="14">
        <f>IF(ISBLANK(Table25[[#This Row],[Roster Received By]]),1,0)</f>
        <v>1</v>
      </c>
      <c r="AA300" s="14">
        <f ca="1">IF(Table25[[#This Row],[Start Date]]&gt;TODAY(),1,)</f>
        <v>0</v>
      </c>
    </row>
    <row r="301" spans="2:27" s="52" customFormat="1" hidden="1" x14ac:dyDescent="0.25">
      <c r="B301" s="104"/>
      <c r="C301" s="87" t="e">
        <v>#N/A</v>
      </c>
      <c r="D301" s="87" t="e">
        <v>#N/A</v>
      </c>
      <c r="E301" s="86"/>
      <c r="F301" s="89"/>
      <c r="G301" s="89"/>
      <c r="H301" s="92"/>
      <c r="I301" s="92"/>
      <c r="J301" s="92"/>
      <c r="K301" s="92"/>
      <c r="L301" s="92"/>
      <c r="M301" s="92"/>
      <c r="N301" s="92"/>
      <c r="O301" s="86"/>
      <c r="P301" s="86"/>
      <c r="Q301" s="14" t="e">
        <v>#N/A</v>
      </c>
      <c r="R301" s="14" t="e">
        <v>#N/A</v>
      </c>
      <c r="S301" s="14"/>
      <c r="T301" s="90"/>
      <c r="U301" s="14"/>
      <c r="V301" s="14"/>
      <c r="W301" s="14"/>
      <c r="X301" s="86"/>
      <c r="Y301" s="59">
        <f ca="1">Table25[[#This Row],[End Date]]+2-TODAY()</f>
        <v>-45816</v>
      </c>
      <c r="Z301" s="14">
        <f>IF(ISBLANK(Table25[[#This Row],[Roster Received By]]),1,0)</f>
        <v>1</v>
      </c>
      <c r="AA301" s="14">
        <f ca="1">IF(Table25[[#This Row],[Start Date]]&gt;TODAY(),1,)</f>
        <v>0</v>
      </c>
    </row>
    <row r="302" spans="2:27" s="52" customFormat="1" hidden="1" x14ac:dyDescent="0.25">
      <c r="B302" s="104"/>
      <c r="C302" s="87" t="e">
        <v>#N/A</v>
      </c>
      <c r="D302" s="87" t="e">
        <v>#N/A</v>
      </c>
      <c r="E302" s="86"/>
      <c r="F302" s="56"/>
      <c r="G302" s="89"/>
      <c r="H302" s="89"/>
      <c r="I302" s="88"/>
      <c r="J302" s="88"/>
      <c r="K302" s="88"/>
      <c r="L302" s="88"/>
      <c r="M302" s="88"/>
      <c r="N302" s="88"/>
      <c r="O302" s="86"/>
      <c r="P302" s="86"/>
      <c r="Q302" s="14" t="e">
        <v>#N/A</v>
      </c>
      <c r="R302" s="14" t="e">
        <v>#N/A</v>
      </c>
      <c r="S302" s="14"/>
      <c r="T302" s="90"/>
      <c r="U302" s="14"/>
      <c r="V302" s="14"/>
      <c r="W302" s="14"/>
      <c r="X302" s="86"/>
      <c r="Y302" s="59">
        <f ca="1">Table25[[#This Row],[End Date]]+2-TODAY()</f>
        <v>-45816</v>
      </c>
      <c r="Z302" s="14">
        <f>IF(ISBLANK(Table25[[#This Row],[Roster Received By]]),1,0)</f>
        <v>1</v>
      </c>
      <c r="AA302" s="14">
        <f ca="1">IF(Table25[[#This Row],[Start Date]]&gt;TODAY(),1,)</f>
        <v>0</v>
      </c>
    </row>
    <row r="303" spans="2:27" s="52" customFormat="1" hidden="1" x14ac:dyDescent="0.25">
      <c r="B303" s="104"/>
      <c r="C303" s="87" t="e">
        <v>#N/A</v>
      </c>
      <c r="D303" s="87" t="e">
        <v>#N/A</v>
      </c>
      <c r="E303" s="86"/>
      <c r="F303" s="89"/>
      <c r="G303" s="89"/>
      <c r="H303" s="89"/>
      <c r="I303" s="88"/>
      <c r="J303" s="88"/>
      <c r="K303" s="88"/>
      <c r="L303" s="88"/>
      <c r="M303" s="88"/>
      <c r="N303" s="88"/>
      <c r="O303" s="86"/>
      <c r="P303" s="86"/>
      <c r="Q303" s="14" t="e">
        <v>#N/A</v>
      </c>
      <c r="R303" s="14" t="e">
        <v>#N/A</v>
      </c>
      <c r="S303" s="14"/>
      <c r="T303" s="90"/>
      <c r="U303" s="14"/>
      <c r="V303" s="14"/>
      <c r="W303" s="14"/>
      <c r="X303" s="86"/>
      <c r="Y303" s="59">
        <f ca="1">Table25[[#This Row],[End Date]]+2-TODAY()</f>
        <v>-45816</v>
      </c>
      <c r="Z303" s="14">
        <f>IF(ISBLANK(Table25[[#This Row],[Roster Received By]]),1,0)</f>
        <v>1</v>
      </c>
      <c r="AA303" s="14">
        <f ca="1">IF(Table25[[#This Row],[Start Date]]&gt;TODAY(),1,)</f>
        <v>0</v>
      </c>
    </row>
    <row r="304" spans="2:27" s="52" customFormat="1" hidden="1" x14ac:dyDescent="0.25">
      <c r="B304" s="104"/>
      <c r="C304" s="87" t="e">
        <v>#N/A</v>
      </c>
      <c r="D304" s="87" t="e">
        <v>#N/A</v>
      </c>
      <c r="E304" s="86"/>
      <c r="F304" s="97"/>
      <c r="G304" s="97"/>
      <c r="H304" s="89"/>
      <c r="I304" s="88"/>
      <c r="J304" s="88"/>
      <c r="K304" s="88"/>
      <c r="L304" s="88"/>
      <c r="M304" s="88"/>
      <c r="N304" s="88"/>
      <c r="O304" s="86"/>
      <c r="P304" s="86"/>
      <c r="Q304" s="14" t="e">
        <v>#N/A</v>
      </c>
      <c r="R304" s="14" t="e">
        <v>#N/A</v>
      </c>
      <c r="S304" s="14"/>
      <c r="T304" s="90"/>
      <c r="U304" s="14"/>
      <c r="V304" s="14"/>
      <c r="W304" s="14"/>
      <c r="X304" s="86"/>
      <c r="Y304" s="59">
        <f ca="1">Table25[[#This Row],[End Date]]+2-TODAY()</f>
        <v>-45816</v>
      </c>
      <c r="Z304" s="14">
        <f>IF(ISBLANK(Table25[[#This Row],[Roster Received By]]),1,0)</f>
        <v>1</v>
      </c>
      <c r="AA304" s="14">
        <f ca="1">IF(Table25[[#This Row],[Start Date]]&gt;TODAY(),1,)</f>
        <v>0</v>
      </c>
    </row>
    <row r="305" spans="1:27" s="52" customFormat="1" hidden="1" x14ac:dyDescent="0.25">
      <c r="B305" s="104"/>
      <c r="C305" s="87" t="e">
        <v>#N/A</v>
      </c>
      <c r="D305" s="87" t="e">
        <v>#N/A</v>
      </c>
      <c r="E305" s="86"/>
      <c r="F305" s="97"/>
      <c r="G305" s="97"/>
      <c r="H305" s="89"/>
      <c r="I305" s="88"/>
      <c r="J305" s="88"/>
      <c r="K305" s="88"/>
      <c r="L305" s="88"/>
      <c r="M305" s="88"/>
      <c r="N305" s="88"/>
      <c r="O305" s="86"/>
      <c r="P305" s="86"/>
      <c r="Q305" s="14" t="e">
        <v>#N/A</v>
      </c>
      <c r="R305" s="14" t="e">
        <v>#N/A</v>
      </c>
      <c r="S305" s="14"/>
      <c r="T305" s="90"/>
      <c r="U305" s="14"/>
      <c r="V305" s="14"/>
      <c r="W305" s="14"/>
      <c r="X305" s="86"/>
      <c r="Y305" s="59">
        <f ca="1">Table25[[#This Row],[End Date]]+2-TODAY()</f>
        <v>-45816</v>
      </c>
      <c r="Z305" s="14">
        <f>IF(ISBLANK(Table25[[#This Row],[Roster Received By]]),1,0)</f>
        <v>1</v>
      </c>
      <c r="AA305" s="14">
        <f ca="1">IF(Table25[[#This Row],[Start Date]]&gt;TODAY(),1,)</f>
        <v>0</v>
      </c>
    </row>
    <row r="306" spans="1:27" s="52" customFormat="1" hidden="1" x14ac:dyDescent="0.25">
      <c r="B306" s="104"/>
      <c r="C306" s="87" t="e">
        <v>#N/A</v>
      </c>
      <c r="D306" s="87" t="e">
        <v>#N/A</v>
      </c>
      <c r="E306" s="86"/>
      <c r="F306" s="97"/>
      <c r="G306" s="97"/>
      <c r="H306" s="89"/>
      <c r="I306" s="88"/>
      <c r="J306" s="88"/>
      <c r="K306" s="88"/>
      <c r="L306" s="88"/>
      <c r="M306" s="88"/>
      <c r="N306" s="88"/>
      <c r="O306" s="86"/>
      <c r="P306" s="86"/>
      <c r="Q306" s="14" t="e">
        <v>#N/A</v>
      </c>
      <c r="R306" s="14" t="e">
        <v>#N/A</v>
      </c>
      <c r="S306" s="14"/>
      <c r="T306" s="90"/>
      <c r="U306" s="14"/>
      <c r="V306" s="14"/>
      <c r="W306" s="14"/>
      <c r="X306" s="86"/>
      <c r="Y306" s="59">
        <f ca="1">Table25[[#This Row],[End Date]]+2-TODAY()</f>
        <v>-45816</v>
      </c>
      <c r="Z306" s="14">
        <f>IF(ISBLANK(Table25[[#This Row],[Roster Received By]]),1,0)</f>
        <v>1</v>
      </c>
      <c r="AA306" s="14">
        <f ca="1">IF(Table25[[#This Row],[Start Date]]&gt;TODAY(),1,)</f>
        <v>0</v>
      </c>
    </row>
    <row r="307" spans="1:27" s="52" customFormat="1" hidden="1" x14ac:dyDescent="0.25">
      <c r="B307" s="104"/>
      <c r="C307" s="87" t="e">
        <v>#N/A</v>
      </c>
      <c r="D307" s="87" t="e">
        <v>#N/A</v>
      </c>
      <c r="E307" s="86"/>
      <c r="F307" s="97"/>
      <c r="G307" s="97"/>
      <c r="H307" s="95"/>
      <c r="I307" s="95"/>
      <c r="J307" s="89"/>
      <c r="K307" s="89"/>
      <c r="L307" s="89"/>
      <c r="M307" s="89"/>
      <c r="N307" s="89"/>
      <c r="O307" s="86"/>
      <c r="P307" s="86"/>
      <c r="Q307" s="14" t="e">
        <v>#N/A</v>
      </c>
      <c r="R307" s="14" t="e">
        <v>#N/A</v>
      </c>
      <c r="S307" s="14"/>
      <c r="T307" s="90"/>
      <c r="U307" s="14"/>
      <c r="V307" s="14"/>
      <c r="W307" s="14"/>
      <c r="X307" s="86"/>
      <c r="Y307" s="59">
        <f ca="1">Table25[[#This Row],[End Date]]+2-TODAY()</f>
        <v>-45816</v>
      </c>
      <c r="Z307" s="14">
        <f>IF(ISBLANK(Table25[[#This Row],[Roster Received By]]),1,0)</f>
        <v>1</v>
      </c>
      <c r="AA307" s="14">
        <f ca="1">IF(Table25[[#This Row],[Start Date]]&gt;TODAY(),1,)</f>
        <v>0</v>
      </c>
    </row>
    <row r="308" spans="1:27" s="52" customFormat="1" hidden="1" x14ac:dyDescent="0.25">
      <c r="B308" s="104"/>
      <c r="C308" s="87" t="e">
        <v>#N/A</v>
      </c>
      <c r="D308" s="87" t="e">
        <v>#N/A</v>
      </c>
      <c r="E308" s="86"/>
      <c r="F308" s="97"/>
      <c r="G308" s="97"/>
      <c r="H308" s="92"/>
      <c r="I308" s="92"/>
      <c r="J308" s="92"/>
      <c r="K308" s="92"/>
      <c r="L308" s="92"/>
      <c r="M308" s="92"/>
      <c r="N308" s="89"/>
      <c r="O308" s="86"/>
      <c r="P308" s="86"/>
      <c r="Q308" s="14" t="e">
        <v>#N/A</v>
      </c>
      <c r="R308" s="14" t="e">
        <v>#N/A</v>
      </c>
      <c r="S308" s="14"/>
      <c r="T308" s="90"/>
      <c r="U308" s="14"/>
      <c r="V308" s="14"/>
      <c r="W308" s="87"/>
      <c r="X308" s="86"/>
      <c r="Y308" s="59">
        <f ca="1">Table25[[#This Row],[End Date]]+2-TODAY()</f>
        <v>-45816</v>
      </c>
      <c r="Z308" s="14">
        <f>IF(ISBLANK(Table25[[#This Row],[Roster Received By]]),1,0)</f>
        <v>1</v>
      </c>
      <c r="AA308" s="14">
        <f ca="1">IF(Table25[[#This Row],[Start Date]]&gt;TODAY(),1,)</f>
        <v>0</v>
      </c>
    </row>
    <row r="309" spans="1:27" s="52" customFormat="1" hidden="1" x14ac:dyDescent="0.25">
      <c r="B309" s="104"/>
      <c r="C309" s="87" t="e">
        <v>#N/A</v>
      </c>
      <c r="D309" s="87" t="e">
        <v>#N/A</v>
      </c>
      <c r="E309" s="54"/>
      <c r="F309" s="97"/>
      <c r="G309" s="97"/>
      <c r="H309" s="92"/>
      <c r="I309" s="92"/>
      <c r="J309" s="89"/>
      <c r="K309" s="89"/>
      <c r="L309" s="89"/>
      <c r="M309" s="89"/>
      <c r="N309" s="89"/>
      <c r="O309" s="86"/>
      <c r="P309" s="86"/>
      <c r="Q309" s="14" t="e">
        <v>#N/A</v>
      </c>
      <c r="R309" s="14" t="e">
        <v>#N/A</v>
      </c>
      <c r="S309" s="14"/>
      <c r="T309" s="90"/>
      <c r="U309" s="14"/>
      <c r="V309" s="14"/>
      <c r="W309" s="14"/>
      <c r="X309" s="86"/>
      <c r="Y309" s="59">
        <f ca="1">Table25[[#This Row],[End Date]]+2-TODAY()</f>
        <v>-45816</v>
      </c>
      <c r="Z309" s="14">
        <f>IF(ISBLANK(Table25[[#This Row],[Roster Received By]]),1,0)</f>
        <v>1</v>
      </c>
      <c r="AA309" s="14">
        <f ca="1">IF(Table25[[#This Row],[Start Date]]&gt;TODAY(),1,)</f>
        <v>0</v>
      </c>
    </row>
    <row r="310" spans="1:27" s="52" customFormat="1" hidden="1" x14ac:dyDescent="0.25">
      <c r="B310" s="104"/>
      <c r="C310" s="87" t="e">
        <v>#N/A</v>
      </c>
      <c r="D310" s="87" t="e">
        <v>#N/A</v>
      </c>
      <c r="E310" s="54"/>
      <c r="F310" s="97"/>
      <c r="G310" s="97"/>
      <c r="H310" s="92"/>
      <c r="I310" s="92"/>
      <c r="J310" s="89"/>
      <c r="K310" s="89"/>
      <c r="L310" s="89"/>
      <c r="M310" s="89"/>
      <c r="N310" s="89"/>
      <c r="O310" s="86"/>
      <c r="P310" s="86"/>
      <c r="Q310" s="14" t="e">
        <v>#N/A</v>
      </c>
      <c r="R310" s="14" t="e">
        <v>#N/A</v>
      </c>
      <c r="S310" s="14"/>
      <c r="T310" s="90"/>
      <c r="U310" s="14"/>
      <c r="V310" s="14"/>
      <c r="W310" s="14"/>
      <c r="X310" s="86"/>
      <c r="Y310" s="59">
        <f ca="1">Table25[[#This Row],[End Date]]+2-TODAY()</f>
        <v>-45816</v>
      </c>
      <c r="Z310" s="14">
        <f>IF(ISBLANK(Table25[[#This Row],[Roster Received By]]),1,0)</f>
        <v>1</v>
      </c>
      <c r="AA310" s="14">
        <f ca="1">IF(Table25[[#This Row],[Start Date]]&gt;TODAY(),1,)</f>
        <v>0</v>
      </c>
    </row>
    <row r="311" spans="1:27" s="52" customFormat="1" hidden="1" x14ac:dyDescent="0.25">
      <c r="B311" s="104"/>
      <c r="C311" s="87" t="e">
        <v>#N/A</v>
      </c>
      <c r="D311" s="87" t="e">
        <v>#N/A</v>
      </c>
      <c r="E311" s="86"/>
      <c r="F311" s="97"/>
      <c r="G311" s="97"/>
      <c r="H311" s="95"/>
      <c r="I311" s="95"/>
      <c r="J311" s="89"/>
      <c r="K311" s="89"/>
      <c r="L311" s="89"/>
      <c r="M311" s="89"/>
      <c r="N311" s="89"/>
      <c r="O311" s="86"/>
      <c r="P311" s="86"/>
      <c r="Q311" s="14" t="e">
        <v>#N/A</v>
      </c>
      <c r="R311" s="14" t="e">
        <v>#N/A</v>
      </c>
      <c r="S311" s="90"/>
      <c r="T311" s="90"/>
      <c r="U311" s="14"/>
      <c r="V311" s="14"/>
      <c r="W311" s="14"/>
      <c r="X311" s="86"/>
      <c r="Y311" s="59">
        <f ca="1">Table25[[#This Row],[End Date]]+2-TODAY()</f>
        <v>-45816</v>
      </c>
      <c r="Z311" s="14">
        <f>IF(ISBLANK(Table25[[#This Row],[Roster Received By]]),1,0)</f>
        <v>1</v>
      </c>
      <c r="AA311" s="14">
        <f ca="1">IF(Table25[[#This Row],[Start Date]]&gt;TODAY(),1,)</f>
        <v>0</v>
      </c>
    </row>
    <row r="312" spans="1:27" s="52" customFormat="1" hidden="1" x14ac:dyDescent="0.25">
      <c r="B312" s="86"/>
      <c r="C312" s="87" t="e">
        <v>#N/A</v>
      </c>
      <c r="D312" s="87" t="e">
        <v>#N/A</v>
      </c>
      <c r="E312" s="86"/>
      <c r="F312" s="97"/>
      <c r="G312" s="97"/>
      <c r="H312" s="92"/>
      <c r="I312" s="92"/>
      <c r="J312" s="89"/>
      <c r="K312" s="89"/>
      <c r="L312" s="89"/>
      <c r="M312" s="89"/>
      <c r="N312" s="89"/>
      <c r="O312" s="86"/>
      <c r="P312" s="86"/>
      <c r="Q312" s="14" t="e">
        <v>#N/A</v>
      </c>
      <c r="R312" s="14" t="e">
        <v>#N/A</v>
      </c>
      <c r="S312" s="90"/>
      <c r="T312" s="90"/>
      <c r="U312" s="14"/>
      <c r="V312" s="14"/>
      <c r="W312" s="87"/>
      <c r="X312" s="86"/>
      <c r="Y312" s="96">
        <f ca="1">Table25[[#This Row],[End Date]]+2-TODAY()</f>
        <v>-45816</v>
      </c>
      <c r="Z312" s="14">
        <f>IF(ISBLANK(Table25[[#This Row],[Roster Received By]]),1,0)</f>
        <v>1</v>
      </c>
      <c r="AA312" s="87">
        <f ca="1">IF(Table25[[#This Row],[Start Date]]&gt;TODAY(),1,)</f>
        <v>0</v>
      </c>
    </row>
    <row r="313" spans="1:27" s="52" customFormat="1" hidden="1" x14ac:dyDescent="0.25">
      <c r="B313" s="105"/>
      <c r="C313" s="87" t="e">
        <v>#N/A</v>
      </c>
      <c r="D313" s="87" t="e">
        <v>#N/A</v>
      </c>
      <c r="E313" s="86"/>
      <c r="F313" s="97"/>
      <c r="G313" s="97"/>
      <c r="H313" s="95"/>
      <c r="I313" s="95"/>
      <c r="J313" s="89"/>
      <c r="K313" s="89"/>
      <c r="L313" s="89"/>
      <c r="M313" s="89"/>
      <c r="N313" s="89"/>
      <c r="O313" s="86"/>
      <c r="P313" s="86"/>
      <c r="Q313" s="14" t="e">
        <v>#N/A</v>
      </c>
      <c r="R313" s="14" t="e">
        <v>#N/A</v>
      </c>
      <c r="S313" s="14"/>
      <c r="T313" s="90"/>
      <c r="U313" s="14"/>
      <c r="V313" s="14"/>
      <c r="W313" s="14"/>
      <c r="X313" s="86"/>
      <c r="Y313" s="59">
        <f ca="1">Table25[[#This Row],[End Date]]+2-TODAY()</f>
        <v>-45816</v>
      </c>
      <c r="Z313" s="14">
        <f>IF(ISBLANK(Table25[[#This Row],[Roster Received By]]),1,0)</f>
        <v>1</v>
      </c>
      <c r="AA313" s="14">
        <f ca="1">IF(Table25[[#This Row],[Start Date]]&gt;TODAY(),1,)</f>
        <v>0</v>
      </c>
    </row>
    <row r="314" spans="1:27" s="52" customFormat="1" hidden="1" x14ac:dyDescent="0.25">
      <c r="B314" s="104"/>
      <c r="C314" s="87" t="e">
        <v>#N/A</v>
      </c>
      <c r="D314" s="87" t="e">
        <v>#N/A</v>
      </c>
      <c r="E314" s="86"/>
      <c r="F314" s="97"/>
      <c r="G314" s="97"/>
      <c r="H314" s="89"/>
      <c r="I314" s="88"/>
      <c r="J314" s="88"/>
      <c r="K314" s="88"/>
      <c r="L314" s="88"/>
      <c r="M314" s="88"/>
      <c r="N314" s="88"/>
      <c r="O314" s="86"/>
      <c r="P314" s="86"/>
      <c r="Q314" s="14" t="e">
        <v>#N/A</v>
      </c>
      <c r="R314" s="14" t="e">
        <v>#N/A</v>
      </c>
      <c r="S314" s="14"/>
      <c r="T314" s="90"/>
      <c r="U314" s="14"/>
      <c r="V314" s="14"/>
      <c r="W314" s="14"/>
      <c r="X314" s="86"/>
      <c r="Y314" s="59">
        <f ca="1">Table25[[#This Row],[End Date]]+2-TODAY()</f>
        <v>-45816</v>
      </c>
      <c r="Z314" s="14">
        <f>IF(ISBLANK(Table25[[#This Row],[Roster Received By]]),1,0)</f>
        <v>1</v>
      </c>
      <c r="AA314" s="14">
        <f ca="1">IF(Table25[[#This Row],[Start Date]]&gt;TODAY(),1,)</f>
        <v>0</v>
      </c>
    </row>
    <row r="315" spans="1:27" s="52" customFormat="1" hidden="1" x14ac:dyDescent="0.25">
      <c r="B315" s="105"/>
      <c r="C315" s="87" t="e">
        <v>#N/A</v>
      </c>
      <c r="D315" s="87" t="e">
        <v>#N/A</v>
      </c>
      <c r="E315" s="86"/>
      <c r="F315" s="97"/>
      <c r="G315" s="97"/>
      <c r="H315" s="92"/>
      <c r="I315" s="92"/>
      <c r="J315" s="89"/>
      <c r="K315" s="89"/>
      <c r="L315" s="89"/>
      <c r="M315" s="89"/>
      <c r="N315" s="89"/>
      <c r="O315" s="86"/>
      <c r="P315" s="86"/>
      <c r="Q315" s="14" t="e">
        <v>#N/A</v>
      </c>
      <c r="R315" s="14" t="e">
        <v>#N/A</v>
      </c>
      <c r="S315" s="14"/>
      <c r="T315" s="90"/>
      <c r="U315" s="14"/>
      <c r="V315" s="14"/>
      <c r="W315" s="14"/>
      <c r="X315" s="86"/>
      <c r="Y315" s="59">
        <f ca="1">Table25[[#This Row],[End Date]]+2-TODAY()</f>
        <v>-45816</v>
      </c>
      <c r="Z315" s="14">
        <f>IF(ISBLANK(Table25[[#This Row],[Roster Received By]]),1,0)</f>
        <v>1</v>
      </c>
      <c r="AA315" s="14">
        <f ca="1">IF(Table25[[#This Row],[Start Date]]&gt;TODAY(),1,)</f>
        <v>0</v>
      </c>
    </row>
    <row r="316" spans="1:27" s="52" customFormat="1" hidden="1" x14ac:dyDescent="0.25">
      <c r="B316" s="105"/>
      <c r="C316" s="87" t="e">
        <v>#N/A</v>
      </c>
      <c r="D316" s="87" t="e">
        <v>#N/A</v>
      </c>
      <c r="E316" s="86"/>
      <c r="F316" s="97"/>
      <c r="G316" s="97"/>
      <c r="H316" s="92"/>
      <c r="I316" s="92"/>
      <c r="J316" s="89"/>
      <c r="K316" s="89"/>
      <c r="L316" s="89"/>
      <c r="M316" s="89"/>
      <c r="N316" s="89"/>
      <c r="O316" s="86"/>
      <c r="P316" s="86"/>
      <c r="Q316" s="14" t="e">
        <v>#N/A</v>
      </c>
      <c r="R316" s="14" t="e">
        <v>#N/A</v>
      </c>
      <c r="S316" s="14"/>
      <c r="T316" s="90"/>
      <c r="U316" s="14"/>
      <c r="V316" s="14"/>
      <c r="W316" s="14"/>
      <c r="X316" s="86"/>
      <c r="Y316" s="59">
        <f ca="1">Table25[[#This Row],[End Date]]+2-TODAY()</f>
        <v>-45816</v>
      </c>
      <c r="Z316" s="14">
        <f>IF(ISBLANK(Table25[[#This Row],[Roster Received By]]),1,0)</f>
        <v>1</v>
      </c>
      <c r="AA316" s="14">
        <f ca="1">IF(Table25[[#This Row],[Start Date]]&gt;TODAY(),1,)</f>
        <v>0</v>
      </c>
    </row>
    <row r="317" spans="1:27" s="52" customFormat="1" hidden="1" x14ac:dyDescent="0.25">
      <c r="A317" s="129"/>
      <c r="B317" s="105"/>
      <c r="C317" s="87" t="e">
        <v>#N/A</v>
      </c>
      <c r="D317" s="87" t="e">
        <v>#N/A</v>
      </c>
      <c r="E317" s="86"/>
      <c r="F317" s="119"/>
      <c r="G317" s="119"/>
      <c r="H317" s="92"/>
      <c r="I317" s="92"/>
      <c r="J317" s="89"/>
      <c r="K317" s="89"/>
      <c r="L317" s="89"/>
      <c r="M317" s="89"/>
      <c r="N317" s="89"/>
      <c r="O317" s="86"/>
      <c r="P317" s="86"/>
      <c r="Q317" s="14" t="e">
        <v>#N/A</v>
      </c>
      <c r="R317" s="14" t="e">
        <v>#N/A</v>
      </c>
      <c r="S317" s="90"/>
      <c r="T317" s="90"/>
      <c r="U317" s="14"/>
      <c r="V317" s="14"/>
      <c r="W317" s="14"/>
      <c r="X317" s="86"/>
      <c r="Y317" s="59">
        <f ca="1">Table25[[#This Row],[End Date]]+2-TODAY()</f>
        <v>-45816</v>
      </c>
      <c r="Z317" s="14">
        <f>IF(ISBLANK(Table25[[#This Row],[Roster Received By]]),1,0)</f>
        <v>1</v>
      </c>
      <c r="AA317" s="14">
        <f ca="1">IF(Table25[[#This Row],[Start Date]]&gt;TODAY(),1,)</f>
        <v>0</v>
      </c>
    </row>
    <row r="318" spans="1:27" s="52" customFormat="1" hidden="1" x14ac:dyDescent="0.25">
      <c r="A318" s="86"/>
      <c r="B318" s="105"/>
      <c r="C318" s="87" t="e">
        <v>#N/A</v>
      </c>
      <c r="D318" s="87" t="e">
        <v>#N/A</v>
      </c>
      <c r="E318" s="105"/>
      <c r="F318" s="120"/>
      <c r="G318" s="120"/>
      <c r="H318" s="56"/>
      <c r="I318" s="88"/>
      <c r="J318" s="88"/>
      <c r="K318" s="88"/>
      <c r="L318" s="88"/>
      <c r="M318" s="88"/>
      <c r="N318" s="88"/>
      <c r="O318" s="86"/>
      <c r="P318" s="86"/>
      <c r="Q318" s="14" t="e">
        <v>#N/A</v>
      </c>
      <c r="R318" s="14" t="e">
        <v>#N/A</v>
      </c>
      <c r="S318" s="14"/>
      <c r="T318" s="90"/>
      <c r="U318" s="14"/>
      <c r="V318" s="14"/>
      <c r="W318" s="14"/>
      <c r="X318" s="86"/>
      <c r="Y318" s="59">
        <f ca="1">Table25[[#This Row],[End Date]]+2-TODAY()</f>
        <v>-45816</v>
      </c>
      <c r="Z318" s="14">
        <f>IF(ISBLANK(Table25[[#This Row],[Roster Received By]]),1,0)</f>
        <v>1</v>
      </c>
      <c r="AA318" s="14">
        <f ca="1">IF(Table25[[#This Row],[Start Date]]&gt;TODAY(),1,)</f>
        <v>0</v>
      </c>
    </row>
    <row r="319" spans="1:27" s="52" customFormat="1" hidden="1" x14ac:dyDescent="0.25">
      <c r="B319" s="105"/>
      <c r="C319" s="87" t="e">
        <v>#N/A</v>
      </c>
      <c r="D319" s="87" t="e">
        <v>#N/A</v>
      </c>
      <c r="E319" s="105"/>
      <c r="F319" s="119"/>
      <c r="G319" s="119"/>
      <c r="H319" s="89"/>
      <c r="I319" s="88"/>
      <c r="J319" s="88"/>
      <c r="K319" s="88"/>
      <c r="L319" s="88"/>
      <c r="M319" s="88"/>
      <c r="N319" s="88"/>
      <c r="O319" s="86"/>
      <c r="P319" s="86"/>
      <c r="Q319" s="14" t="e">
        <v>#N/A</v>
      </c>
      <c r="R319" s="14" t="e">
        <v>#N/A</v>
      </c>
      <c r="S319" s="14"/>
      <c r="T319" s="90"/>
      <c r="U319" s="14"/>
      <c r="V319" s="14"/>
      <c r="W319" s="14"/>
      <c r="X319" s="86"/>
      <c r="Y319" s="59">
        <f ca="1">Table25[[#This Row],[End Date]]+2-TODAY()</f>
        <v>-45816</v>
      </c>
      <c r="Z319" s="14">
        <f>IF(ISBLANK(Table25[[#This Row],[Roster Received By]]),1,0)</f>
        <v>1</v>
      </c>
      <c r="AA319" s="14">
        <f ca="1">IF(Table25[[#This Row],[Start Date]]&gt;TODAY(),1,)</f>
        <v>0</v>
      </c>
    </row>
    <row r="320" spans="1:27" s="52" customFormat="1" hidden="1" x14ac:dyDescent="0.25">
      <c r="B320" s="105"/>
      <c r="C320" s="87" t="e">
        <v>#N/A</v>
      </c>
      <c r="D320" s="87" t="e">
        <v>#N/A</v>
      </c>
      <c r="E320" s="86"/>
      <c r="F320" s="89"/>
      <c r="G320" s="89"/>
      <c r="H320" s="92"/>
      <c r="I320" s="92"/>
      <c r="J320" s="92"/>
      <c r="K320" s="92"/>
      <c r="L320" s="92"/>
      <c r="M320" s="92"/>
      <c r="N320" s="89"/>
      <c r="O320" s="86"/>
      <c r="P320" s="86"/>
      <c r="Q320" s="14" t="e">
        <v>#N/A</v>
      </c>
      <c r="R320" s="14" t="e">
        <v>#N/A</v>
      </c>
      <c r="S320" s="14"/>
      <c r="T320" s="90"/>
      <c r="U320" s="14"/>
      <c r="V320" s="14"/>
      <c r="W320" s="14"/>
      <c r="X320" s="86"/>
      <c r="Y320" s="59">
        <f ca="1">Table25[[#This Row],[End Date]]+2-TODAY()</f>
        <v>-45816</v>
      </c>
      <c r="Z320" s="14">
        <f>IF(ISBLANK(Table25[[#This Row],[Roster Received By]]),1,0)</f>
        <v>1</v>
      </c>
      <c r="AA320" s="14">
        <f ca="1">IF(Table25[[#This Row],[Start Date]]&gt;TODAY(),1,)</f>
        <v>0</v>
      </c>
    </row>
    <row r="321" spans="1:27" s="52" customFormat="1" hidden="1" x14ac:dyDescent="0.25">
      <c r="B321" s="105"/>
      <c r="C321" s="87" t="e">
        <v>#N/A</v>
      </c>
      <c r="D321" s="87" t="e">
        <v>#N/A</v>
      </c>
      <c r="E321" s="55"/>
      <c r="F321" s="97"/>
      <c r="G321" s="97"/>
      <c r="H321" s="92"/>
      <c r="I321" s="92"/>
      <c r="J321" s="89"/>
      <c r="K321" s="89"/>
      <c r="L321" s="89"/>
      <c r="M321" s="89"/>
      <c r="N321" s="89"/>
      <c r="O321" s="86"/>
      <c r="P321" s="86"/>
      <c r="Q321" s="14" t="e">
        <v>#N/A</v>
      </c>
      <c r="R321" s="14" t="e">
        <v>#N/A</v>
      </c>
      <c r="S321" s="14"/>
      <c r="T321" s="90"/>
      <c r="U321" s="14"/>
      <c r="V321" s="14"/>
      <c r="W321" s="14"/>
      <c r="X321" s="86"/>
      <c r="Y321" s="59">
        <f ca="1">Table25[[#This Row],[End Date]]+2-TODAY()</f>
        <v>-45816</v>
      </c>
      <c r="Z321" s="14">
        <f>IF(ISBLANK(Table25[[#This Row],[Roster Received By]]),1,0)</f>
        <v>1</v>
      </c>
      <c r="AA321" s="14">
        <f ca="1">IF(Table25[[#This Row],[Start Date]]&gt;TODAY(),1,)</f>
        <v>0</v>
      </c>
    </row>
    <row r="322" spans="1:27" s="52" customFormat="1" hidden="1" x14ac:dyDescent="0.25">
      <c r="B322" s="105"/>
      <c r="C322" s="87" t="e">
        <v>#N/A</v>
      </c>
      <c r="D322" s="87" t="e">
        <v>#N/A</v>
      </c>
      <c r="E322" s="103"/>
      <c r="F322" s="97"/>
      <c r="G322" s="97"/>
      <c r="H322" s="95"/>
      <c r="I322" s="95"/>
      <c r="J322" s="89"/>
      <c r="K322" s="89"/>
      <c r="L322" s="89"/>
      <c r="M322" s="89"/>
      <c r="N322" s="89"/>
      <c r="O322" s="86"/>
      <c r="P322" s="86"/>
      <c r="Q322" s="14" t="e">
        <v>#N/A</v>
      </c>
      <c r="R322" s="14" t="e">
        <v>#N/A</v>
      </c>
      <c r="S322" s="14"/>
      <c r="T322" s="90"/>
      <c r="U322" s="14"/>
      <c r="V322" s="14"/>
      <c r="W322" s="14"/>
      <c r="X322" s="86"/>
      <c r="Y322" s="59">
        <f ca="1">Table25[[#This Row],[End Date]]+2-TODAY()</f>
        <v>-45816</v>
      </c>
      <c r="Z322" s="14">
        <f>IF(ISBLANK(Table25[[#This Row],[Roster Received By]]),1,0)</f>
        <v>1</v>
      </c>
      <c r="AA322" s="14">
        <f ca="1">IF(Table25[[#This Row],[Start Date]]&gt;TODAY(),1,)</f>
        <v>0</v>
      </c>
    </row>
    <row r="323" spans="1:27" s="52" customFormat="1" hidden="1" x14ac:dyDescent="0.25">
      <c r="B323" s="105"/>
      <c r="C323" s="87" t="e">
        <v>#N/A</v>
      </c>
      <c r="D323" s="87" t="e">
        <v>#N/A</v>
      </c>
      <c r="E323" s="103"/>
      <c r="F323" s="97"/>
      <c r="G323" s="97"/>
      <c r="H323" s="89"/>
      <c r="I323" s="88"/>
      <c r="J323" s="88"/>
      <c r="K323" s="88"/>
      <c r="L323" s="88"/>
      <c r="M323" s="88"/>
      <c r="N323" s="88"/>
      <c r="O323" s="86"/>
      <c r="P323" s="86"/>
      <c r="Q323" s="14" t="e">
        <v>#N/A</v>
      </c>
      <c r="R323" s="14" t="e">
        <v>#N/A</v>
      </c>
      <c r="S323" s="14"/>
      <c r="T323" s="90"/>
      <c r="U323" s="14"/>
      <c r="V323" s="14"/>
      <c r="W323" s="14"/>
      <c r="X323" s="86"/>
      <c r="Y323" s="59">
        <f ca="1">Table25[[#This Row],[End Date]]+2-TODAY()</f>
        <v>-45816</v>
      </c>
      <c r="Z323" s="14">
        <f>IF(ISBLANK(Table25[[#This Row],[Roster Received By]]),1,0)</f>
        <v>1</v>
      </c>
      <c r="AA323" s="14">
        <f ca="1">IF(Table25[[#This Row],[Start Date]]&gt;TODAY(),1,)</f>
        <v>0</v>
      </c>
    </row>
    <row r="324" spans="1:27" s="52" customFormat="1" hidden="1" x14ac:dyDescent="0.25">
      <c r="A324" s="86"/>
      <c r="B324" s="105"/>
      <c r="C324" s="87" t="e">
        <v>#N/A</v>
      </c>
      <c r="D324" s="87" t="e">
        <v>#N/A</v>
      </c>
      <c r="E324" s="103"/>
      <c r="F324" s="97"/>
      <c r="G324" s="97"/>
      <c r="H324" s="92"/>
      <c r="I324" s="92"/>
      <c r="J324" s="89"/>
      <c r="K324" s="89"/>
      <c r="L324" s="89"/>
      <c r="M324" s="89"/>
      <c r="N324" s="89"/>
      <c r="O324" s="86"/>
      <c r="P324" s="86"/>
      <c r="Q324" s="14" t="e">
        <v>#N/A</v>
      </c>
      <c r="R324" s="14" t="e">
        <v>#N/A</v>
      </c>
      <c r="S324" s="14"/>
      <c r="T324" s="90"/>
      <c r="U324" s="14"/>
      <c r="V324" s="14"/>
      <c r="W324" s="90"/>
      <c r="X324" s="86"/>
      <c r="Y324" s="59">
        <f ca="1">Table25[[#This Row],[End Date]]+2-TODAY()</f>
        <v>-45816</v>
      </c>
      <c r="Z324" s="14">
        <f>IF(ISBLANK(Table25[[#This Row],[Roster Received By]]),1,0)</f>
        <v>1</v>
      </c>
      <c r="AA324" s="14">
        <f ca="1">IF(Table25[[#This Row],[Start Date]]&gt;TODAY(),1,)</f>
        <v>0</v>
      </c>
    </row>
    <row r="325" spans="1:27" s="52" customFormat="1" hidden="1" x14ac:dyDescent="0.25">
      <c r="B325" s="105"/>
      <c r="C325" s="87" t="e">
        <v>#N/A</v>
      </c>
      <c r="D325" s="87" t="e">
        <v>#N/A</v>
      </c>
      <c r="E325" s="103"/>
      <c r="F325" s="97"/>
      <c r="G325" s="97"/>
      <c r="H325" s="92"/>
      <c r="I325" s="92"/>
      <c r="J325" s="89"/>
      <c r="K325" s="89"/>
      <c r="L325" s="89"/>
      <c r="M325" s="89"/>
      <c r="N325" s="89"/>
      <c r="O325" s="86"/>
      <c r="P325" s="86"/>
      <c r="Q325" s="14" t="e">
        <v>#N/A</v>
      </c>
      <c r="R325" s="14" t="e">
        <v>#N/A</v>
      </c>
      <c r="S325" s="14"/>
      <c r="T325" s="90"/>
      <c r="U325" s="14"/>
      <c r="V325" s="14"/>
      <c r="W325" s="14"/>
      <c r="X325" s="86"/>
      <c r="Y325" s="59">
        <f ca="1">Table25[[#This Row],[End Date]]+2-TODAY()</f>
        <v>-45816</v>
      </c>
      <c r="Z325" s="14">
        <f>IF(ISBLANK(Table25[[#This Row],[Roster Received By]]),1,0)</f>
        <v>1</v>
      </c>
      <c r="AA325" s="14">
        <f ca="1">IF(Table25[[#This Row],[Start Date]]&gt;TODAY(),1,)</f>
        <v>0</v>
      </c>
    </row>
    <row r="326" spans="1:27" s="52" customFormat="1" hidden="1" x14ac:dyDescent="0.25">
      <c r="B326" s="105"/>
      <c r="C326" s="87" t="e">
        <v>#N/A</v>
      </c>
      <c r="D326" s="87" t="e">
        <v>#N/A</v>
      </c>
      <c r="E326" s="103"/>
      <c r="F326" s="97"/>
      <c r="G326" s="97"/>
      <c r="H326" s="89"/>
      <c r="I326" s="88"/>
      <c r="J326" s="88"/>
      <c r="K326" s="88"/>
      <c r="L326" s="88"/>
      <c r="M326" s="88"/>
      <c r="N326" s="88"/>
      <c r="O326" s="86"/>
      <c r="P326" s="86"/>
      <c r="Q326" s="14" t="e">
        <v>#N/A</v>
      </c>
      <c r="R326" s="14" t="e">
        <v>#N/A</v>
      </c>
      <c r="S326" s="14"/>
      <c r="T326" s="90"/>
      <c r="U326" s="14"/>
      <c r="V326" s="14"/>
      <c r="W326" s="87"/>
      <c r="X326" s="86"/>
      <c r="Y326" s="59">
        <f ca="1">Table25[[#This Row],[End Date]]+2-TODAY()</f>
        <v>-45816</v>
      </c>
      <c r="Z326" s="14">
        <f>IF(ISBLANK(Table25[[#This Row],[Roster Received By]]),1,0)</f>
        <v>1</v>
      </c>
      <c r="AA326" s="14">
        <f ca="1">IF(Table25[[#This Row],[Start Date]]&gt;TODAY(),1,)</f>
        <v>0</v>
      </c>
    </row>
    <row r="327" spans="1:27" s="52" customFormat="1" hidden="1" x14ac:dyDescent="0.25">
      <c r="B327" s="105"/>
      <c r="C327" s="87" t="e">
        <v>#N/A</v>
      </c>
      <c r="D327" s="87" t="e">
        <v>#N/A</v>
      </c>
      <c r="E327" s="86"/>
      <c r="F327" s="97"/>
      <c r="G327" s="97"/>
      <c r="H327" s="89"/>
      <c r="I327" s="88"/>
      <c r="J327" s="88"/>
      <c r="K327" s="88"/>
      <c r="L327" s="88"/>
      <c r="M327" s="88"/>
      <c r="N327" s="88"/>
      <c r="O327" s="86"/>
      <c r="P327" s="86"/>
      <c r="Q327" s="14" t="e">
        <v>#N/A</v>
      </c>
      <c r="R327" s="14" t="e">
        <v>#N/A</v>
      </c>
      <c r="S327" s="14"/>
      <c r="T327" s="90"/>
      <c r="U327" s="14"/>
      <c r="V327" s="14"/>
      <c r="W327" s="14"/>
      <c r="X327" s="86"/>
      <c r="Y327" s="59">
        <f ca="1">Table25[[#This Row],[End Date]]+2-TODAY()</f>
        <v>-45816</v>
      </c>
      <c r="Z327" s="14">
        <f>IF(ISBLANK(Table25[[#This Row],[Roster Received By]]),1,0)</f>
        <v>1</v>
      </c>
      <c r="AA327" s="14">
        <f ca="1">IF(Table25[[#This Row],[Start Date]]&gt;TODAY(),1,)</f>
        <v>0</v>
      </c>
    </row>
    <row r="328" spans="1:27" s="52" customFormat="1" hidden="1" x14ac:dyDescent="0.25">
      <c r="B328" s="106"/>
      <c r="C328" s="87" t="e">
        <v>#N/A</v>
      </c>
      <c r="D328" s="87" t="e">
        <v>#N/A</v>
      </c>
      <c r="E328" s="103"/>
      <c r="F328" s="85"/>
      <c r="G328" s="85"/>
      <c r="H328" s="56"/>
      <c r="I328" s="88"/>
      <c r="J328" s="88"/>
      <c r="K328" s="88"/>
      <c r="L328" s="88"/>
      <c r="M328" s="88"/>
      <c r="N328" s="88"/>
      <c r="O328" s="86"/>
      <c r="P328" s="86"/>
      <c r="Q328" s="14" t="e">
        <v>#N/A</v>
      </c>
      <c r="R328" s="14" t="e">
        <v>#N/A</v>
      </c>
      <c r="S328" s="14"/>
      <c r="T328" s="90"/>
      <c r="U328" s="14"/>
      <c r="V328" s="14"/>
      <c r="W328" s="14"/>
      <c r="X328" s="86"/>
      <c r="Y328" s="59">
        <f ca="1">Table25[[#This Row],[End Date]]+2-TODAY()</f>
        <v>-45816</v>
      </c>
      <c r="Z328" s="14">
        <f>IF(ISBLANK(Table25[[#This Row],[Roster Received By]]),1,0)</f>
        <v>1</v>
      </c>
      <c r="AA328" s="14">
        <f ca="1">IF(Table25[[#This Row],[Start Date]]&gt;TODAY(),1,)</f>
        <v>0</v>
      </c>
    </row>
    <row r="329" spans="1:27" s="52" customFormat="1" hidden="1" x14ac:dyDescent="0.25">
      <c r="A329" s="86"/>
      <c r="B329" s="105"/>
      <c r="C329" s="87" t="e">
        <v>#N/A</v>
      </c>
      <c r="D329" s="87" t="e">
        <v>#N/A</v>
      </c>
      <c r="E329" s="103"/>
      <c r="F329" s="97"/>
      <c r="G329" s="97"/>
      <c r="H329" s="89"/>
      <c r="I329" s="88"/>
      <c r="J329" s="88"/>
      <c r="K329" s="88"/>
      <c r="L329" s="88"/>
      <c r="M329" s="88"/>
      <c r="N329" s="88"/>
      <c r="O329" s="86"/>
      <c r="P329" s="86"/>
      <c r="Q329" s="14" t="e">
        <v>#N/A</v>
      </c>
      <c r="R329" s="14" t="e">
        <v>#N/A</v>
      </c>
      <c r="S329" s="14"/>
      <c r="T329" s="90"/>
      <c r="U329" s="14"/>
      <c r="V329" s="14"/>
      <c r="W329" s="14"/>
      <c r="X329" s="86"/>
      <c r="Y329" s="59">
        <f ca="1">Table25[[#This Row],[End Date]]+2-TODAY()</f>
        <v>-45816</v>
      </c>
      <c r="Z329" s="14">
        <f>IF(ISBLANK(Table25[[#This Row],[Roster Received By]]),1,0)</f>
        <v>1</v>
      </c>
      <c r="AA329" s="14">
        <f ca="1">IF(Table25[[#This Row],[Start Date]]&gt;TODAY(),1,)</f>
        <v>0</v>
      </c>
    </row>
    <row r="330" spans="1:27" s="52" customFormat="1" hidden="1" x14ac:dyDescent="0.25">
      <c r="B330" s="105"/>
      <c r="C330" s="87" t="e">
        <v>#N/A</v>
      </c>
      <c r="D330" s="87" t="e">
        <v>#N/A</v>
      </c>
      <c r="E330" s="105"/>
      <c r="F330" s="97"/>
      <c r="G330" s="97"/>
      <c r="H330" s="89"/>
      <c r="I330" s="88"/>
      <c r="J330" s="88"/>
      <c r="K330" s="88"/>
      <c r="L330" s="88"/>
      <c r="M330" s="88"/>
      <c r="N330" s="88"/>
      <c r="O330" s="86"/>
      <c r="P330" s="86"/>
      <c r="Q330" s="14" t="e">
        <v>#N/A</v>
      </c>
      <c r="R330" s="14" t="e">
        <v>#N/A</v>
      </c>
      <c r="S330" s="14"/>
      <c r="T330" s="90"/>
      <c r="U330" s="14"/>
      <c r="V330" s="14"/>
      <c r="W330" s="14"/>
      <c r="X330" s="86"/>
      <c r="Y330" s="59">
        <f ca="1">Table25[[#This Row],[End Date]]+2-TODAY()</f>
        <v>-45816</v>
      </c>
      <c r="Z330" s="14">
        <f>IF(ISBLANK(Table25[[#This Row],[Roster Received By]]),1,0)</f>
        <v>1</v>
      </c>
      <c r="AA330" s="14">
        <f ca="1">IF(Table25[[#This Row],[Start Date]]&gt;TODAY(),1,)</f>
        <v>0</v>
      </c>
    </row>
    <row r="331" spans="1:27" s="52" customFormat="1" hidden="1" x14ac:dyDescent="0.25">
      <c r="B331" s="105"/>
      <c r="C331" s="87" t="e">
        <v>#N/A</v>
      </c>
      <c r="D331" s="87" t="e">
        <v>#N/A</v>
      </c>
      <c r="E331" s="105"/>
      <c r="F331" s="97"/>
      <c r="G331" s="97"/>
      <c r="H331" s="89"/>
      <c r="I331" s="88"/>
      <c r="J331" s="88"/>
      <c r="K331" s="88"/>
      <c r="L331" s="88"/>
      <c r="M331" s="88"/>
      <c r="N331" s="88"/>
      <c r="O331" s="86"/>
      <c r="P331" s="86"/>
      <c r="Q331" s="14" t="e">
        <v>#N/A</v>
      </c>
      <c r="R331" s="14" t="e">
        <v>#N/A</v>
      </c>
      <c r="S331" s="14"/>
      <c r="T331" s="90"/>
      <c r="U331" s="14"/>
      <c r="V331" s="14"/>
      <c r="W331" s="14"/>
      <c r="X331" s="86"/>
      <c r="Y331" s="59">
        <f ca="1">Table25[[#This Row],[End Date]]+2-TODAY()</f>
        <v>-45816</v>
      </c>
      <c r="Z331" s="14">
        <f>IF(ISBLANK(Table25[[#This Row],[Roster Received By]]),1,0)</f>
        <v>1</v>
      </c>
      <c r="AA331" s="14">
        <f ca="1">IF(Table25[[#This Row],[Start Date]]&gt;TODAY(),1,)</f>
        <v>0</v>
      </c>
    </row>
    <row r="332" spans="1:27" s="52" customFormat="1" hidden="1" x14ac:dyDescent="0.25">
      <c r="B332" s="105"/>
      <c r="C332" s="87" t="e">
        <v>#N/A</v>
      </c>
      <c r="D332" s="87" t="e">
        <v>#N/A</v>
      </c>
      <c r="E332" s="105"/>
      <c r="F332" s="97"/>
      <c r="G332" s="97"/>
      <c r="H332" s="89"/>
      <c r="I332" s="88"/>
      <c r="J332" s="88"/>
      <c r="K332" s="88"/>
      <c r="L332" s="88"/>
      <c r="M332" s="88"/>
      <c r="N332" s="88"/>
      <c r="O332" s="86"/>
      <c r="P332" s="86"/>
      <c r="Q332" s="14" t="e">
        <v>#N/A</v>
      </c>
      <c r="R332" s="14" t="e">
        <v>#N/A</v>
      </c>
      <c r="S332" s="14"/>
      <c r="T332" s="90"/>
      <c r="U332" s="14"/>
      <c r="V332" s="14"/>
      <c r="W332" s="14"/>
      <c r="X332" s="86"/>
      <c r="Y332" s="59">
        <f ca="1">Table25[[#This Row],[End Date]]+2-TODAY()</f>
        <v>-45816</v>
      </c>
      <c r="Z332" s="14">
        <f>IF(ISBLANK(Table25[[#This Row],[Roster Received By]]),1,0)</f>
        <v>1</v>
      </c>
      <c r="AA332" s="14">
        <f ca="1">IF(Table25[[#This Row],[Start Date]]&gt;TODAY(),1,)</f>
        <v>0</v>
      </c>
    </row>
    <row r="333" spans="1:27" s="93" customFormat="1" ht="15.75" hidden="1" customHeight="1" x14ac:dyDescent="0.25">
      <c r="A333" s="52"/>
      <c r="B333" s="105"/>
      <c r="C333" s="87" t="e">
        <v>#N/A</v>
      </c>
      <c r="D333" s="87" t="e">
        <v>#N/A</v>
      </c>
      <c r="E333" s="116"/>
      <c r="F333" s="97"/>
      <c r="G333" s="97"/>
      <c r="H333" s="92"/>
      <c r="I333" s="92"/>
      <c r="J333" s="92"/>
      <c r="K333" s="92"/>
      <c r="L333" s="92"/>
      <c r="M333" s="92"/>
      <c r="N333" s="89"/>
      <c r="O333" s="86"/>
      <c r="P333" s="86"/>
      <c r="Q333" s="14" t="e">
        <v>#N/A</v>
      </c>
      <c r="R333" s="14" t="e">
        <v>#N/A</v>
      </c>
      <c r="S333" s="14"/>
      <c r="T333" s="90"/>
      <c r="U333" s="14"/>
      <c r="V333" s="14"/>
      <c r="W333" s="14"/>
      <c r="X333" s="86"/>
      <c r="Y333" s="59">
        <f ca="1">Table25[[#This Row],[End Date]]+2-TODAY()</f>
        <v>-45816</v>
      </c>
      <c r="Z333" s="14">
        <f>IF(ISBLANK(Table25[[#This Row],[Roster Received By]]),1,0)</f>
        <v>1</v>
      </c>
      <c r="AA333" s="14">
        <f ca="1">IF(Table25[[#This Row],[Start Date]]&gt;TODAY(),1,)</f>
        <v>0</v>
      </c>
    </row>
    <row r="334" spans="1:27" s="93" customFormat="1" ht="15.75" hidden="1" customHeight="1" x14ac:dyDescent="0.25">
      <c r="A334" s="86"/>
      <c r="B334" s="105"/>
      <c r="C334" s="87" t="e">
        <v>#N/A</v>
      </c>
      <c r="D334" s="87" t="e">
        <v>#N/A</v>
      </c>
      <c r="E334" s="116"/>
      <c r="F334" s="97"/>
      <c r="G334" s="97"/>
      <c r="H334" s="92"/>
      <c r="I334" s="92"/>
      <c r="J334" s="89"/>
      <c r="K334" s="89"/>
      <c r="L334" s="89"/>
      <c r="M334" s="89"/>
      <c r="N334" s="89"/>
      <c r="O334" s="86"/>
      <c r="P334" s="86"/>
      <c r="Q334" s="14" t="e">
        <v>#N/A</v>
      </c>
      <c r="R334" s="14" t="e">
        <v>#N/A</v>
      </c>
      <c r="S334" s="14"/>
      <c r="T334" s="90"/>
      <c r="U334" s="14"/>
      <c r="V334" s="14"/>
      <c r="W334" s="14"/>
      <c r="X334" s="86"/>
      <c r="Y334" s="59">
        <f ca="1">Table25[[#This Row],[End Date]]+2-TODAY()</f>
        <v>-45816</v>
      </c>
      <c r="Z334" s="14">
        <f>IF(ISBLANK(Table25[[#This Row],[Roster Received By]]),1,0)</f>
        <v>1</v>
      </c>
      <c r="AA334" s="14">
        <f ca="1">IF(Table25[[#This Row],[Start Date]]&gt;TODAY(),1,)</f>
        <v>0</v>
      </c>
    </row>
    <row r="335" spans="1:27" s="93" customFormat="1" ht="15.75" hidden="1" customHeight="1" x14ac:dyDescent="0.25">
      <c r="A335" s="52"/>
      <c r="B335" s="105"/>
      <c r="C335" s="87" t="e">
        <v>#N/A</v>
      </c>
      <c r="D335" s="87" t="e">
        <v>#N/A</v>
      </c>
      <c r="E335" s="105"/>
      <c r="F335" s="97"/>
      <c r="G335" s="97"/>
      <c r="H335" s="89"/>
      <c r="I335" s="88"/>
      <c r="J335" s="88"/>
      <c r="K335" s="88"/>
      <c r="L335" s="88"/>
      <c r="M335" s="88"/>
      <c r="N335" s="88"/>
      <c r="O335" s="86"/>
      <c r="P335" s="86"/>
      <c r="Q335" s="14" t="e">
        <v>#N/A</v>
      </c>
      <c r="R335" s="14" t="e">
        <v>#N/A</v>
      </c>
      <c r="S335" s="14"/>
      <c r="T335" s="90"/>
      <c r="U335" s="14"/>
      <c r="V335" s="14"/>
      <c r="W335" s="94"/>
      <c r="X335" s="86"/>
      <c r="Y335" s="59">
        <f ca="1">Table25[[#This Row],[End Date]]+2-TODAY()</f>
        <v>-45816</v>
      </c>
      <c r="Z335" s="14">
        <f>IF(ISBLANK(Table25[[#This Row],[Roster Received By]]),1,0)</f>
        <v>1</v>
      </c>
      <c r="AA335" s="14">
        <f ca="1">IF(Table25[[#This Row],[Start Date]]&gt;TODAY(),1,)</f>
        <v>0</v>
      </c>
    </row>
    <row r="336" spans="1:27" s="93" customFormat="1" ht="15.75" hidden="1" customHeight="1" x14ac:dyDescent="0.25">
      <c r="A336" s="52"/>
      <c r="B336" s="105"/>
      <c r="C336" s="87" t="e">
        <v>#N/A</v>
      </c>
      <c r="D336" s="87" t="e">
        <v>#N/A</v>
      </c>
      <c r="E336" s="105"/>
      <c r="F336" s="97"/>
      <c r="G336" s="97"/>
      <c r="H336" s="92"/>
      <c r="I336" s="92"/>
      <c r="J336" s="92"/>
      <c r="K336" s="92"/>
      <c r="L336" s="92"/>
      <c r="M336" s="92"/>
      <c r="N336" s="89"/>
      <c r="O336" s="86"/>
      <c r="P336" s="86"/>
      <c r="Q336" s="14" t="e">
        <v>#N/A</v>
      </c>
      <c r="R336" s="14" t="e">
        <v>#N/A</v>
      </c>
      <c r="S336" s="14"/>
      <c r="T336" s="90"/>
      <c r="U336" s="14"/>
      <c r="V336" s="14"/>
      <c r="W336" s="14"/>
      <c r="X336" s="86"/>
      <c r="Y336" s="59">
        <f ca="1">Table25[[#This Row],[End Date]]+2-TODAY()</f>
        <v>-45816</v>
      </c>
      <c r="Z336" s="14">
        <f>IF(ISBLANK(Table25[[#This Row],[Roster Received By]]),1,0)</f>
        <v>1</v>
      </c>
      <c r="AA336" s="14">
        <f ca="1">IF(Table25[[#This Row],[Start Date]]&gt;TODAY(),1,)</f>
        <v>0</v>
      </c>
    </row>
    <row r="337" spans="1:27" s="93" customFormat="1" ht="15.75" hidden="1" customHeight="1" x14ac:dyDescent="0.25">
      <c r="A337" s="52"/>
      <c r="B337" s="103"/>
      <c r="C337" s="87" t="e">
        <v>#N/A</v>
      </c>
      <c r="D337" s="87" t="e">
        <v>#N/A</v>
      </c>
      <c r="E337" s="103"/>
      <c r="F337" s="97"/>
      <c r="G337" s="97"/>
      <c r="H337" s="95"/>
      <c r="I337" s="95"/>
      <c r="J337" s="89"/>
      <c r="K337" s="89"/>
      <c r="L337" s="89"/>
      <c r="M337" s="89"/>
      <c r="N337" s="89"/>
      <c r="O337" s="86"/>
      <c r="P337" s="86"/>
      <c r="Q337" s="14" t="e">
        <v>#N/A</v>
      </c>
      <c r="R337" s="14" t="e">
        <v>#N/A</v>
      </c>
      <c r="S337" s="14"/>
      <c r="T337" s="90"/>
      <c r="U337" s="14"/>
      <c r="V337" s="14"/>
      <c r="W337" s="87"/>
      <c r="X337" s="86"/>
      <c r="Y337" s="59">
        <f ca="1">Table25[[#This Row],[End Date]]+2-TODAY()</f>
        <v>-45816</v>
      </c>
      <c r="Z337" s="14">
        <f>IF(ISBLANK(Table25[[#This Row],[Roster Received By]]),1,0)</f>
        <v>1</v>
      </c>
      <c r="AA337" s="14">
        <f ca="1">IF(Table25[[#This Row],[Start Date]]&gt;TODAY(),1,)</f>
        <v>0</v>
      </c>
    </row>
    <row r="338" spans="1:27" s="93" customFormat="1" ht="15.75" hidden="1" customHeight="1" x14ac:dyDescent="0.25">
      <c r="A338" s="52"/>
      <c r="B338" s="103"/>
      <c r="C338" s="87" t="e">
        <v>#N/A</v>
      </c>
      <c r="D338" s="87" t="e">
        <v>#N/A</v>
      </c>
      <c r="E338" s="86"/>
      <c r="F338" s="97"/>
      <c r="G338" s="97"/>
      <c r="H338" s="95"/>
      <c r="I338" s="95"/>
      <c r="J338" s="89"/>
      <c r="K338" s="89"/>
      <c r="L338" s="89"/>
      <c r="M338" s="89"/>
      <c r="N338" s="89"/>
      <c r="O338" s="86"/>
      <c r="P338" s="86"/>
      <c r="Q338" s="14" t="e">
        <v>#N/A</v>
      </c>
      <c r="R338" s="14" t="e">
        <v>#N/A</v>
      </c>
      <c r="S338" s="14"/>
      <c r="T338" s="90"/>
      <c r="U338" s="14"/>
      <c r="V338" s="14"/>
      <c r="W338" s="14"/>
      <c r="X338" s="86"/>
      <c r="Y338" s="59">
        <f ca="1">Table25[[#This Row],[End Date]]+2-TODAY()</f>
        <v>-45816</v>
      </c>
      <c r="Z338" s="14">
        <f>IF(ISBLANK(Table25[[#This Row],[Roster Received By]]),1,0)</f>
        <v>1</v>
      </c>
      <c r="AA338" s="14">
        <f ca="1">IF(Table25[[#This Row],[Start Date]]&gt;TODAY(),1,)</f>
        <v>0</v>
      </c>
    </row>
    <row r="339" spans="1:27" s="93" customFormat="1" ht="15.75" hidden="1" customHeight="1" x14ac:dyDescent="0.25">
      <c r="A339" s="52"/>
      <c r="B339" s="105"/>
      <c r="C339" s="87" t="e">
        <v>#N/A</v>
      </c>
      <c r="D339" s="87" t="e">
        <v>#N/A</v>
      </c>
      <c r="E339" s="103"/>
      <c r="F339" s="97"/>
      <c r="G339" s="97"/>
      <c r="H339" s="89"/>
      <c r="I339" s="88"/>
      <c r="J339" s="88"/>
      <c r="K339" s="88"/>
      <c r="L339" s="88"/>
      <c r="M339" s="88"/>
      <c r="N339" s="88"/>
      <c r="O339" s="86"/>
      <c r="P339" s="86"/>
      <c r="Q339" s="14" t="e">
        <v>#N/A</v>
      </c>
      <c r="R339" s="14" t="e">
        <v>#N/A</v>
      </c>
      <c r="S339" s="14"/>
      <c r="T339" s="90"/>
      <c r="U339" s="14"/>
      <c r="V339" s="14"/>
      <c r="W339" s="14"/>
      <c r="X339" s="86"/>
      <c r="Y339" s="59">
        <f ca="1">Table25[[#This Row],[End Date]]+2-TODAY()</f>
        <v>-45816</v>
      </c>
      <c r="Z339" s="14">
        <f>IF(ISBLANK(Table25[[#This Row],[Roster Received By]]),1,0)</f>
        <v>1</v>
      </c>
      <c r="AA339" s="14">
        <f ca="1">IF(Table25[[#This Row],[Start Date]]&gt;TODAY(),1,)</f>
        <v>0</v>
      </c>
    </row>
    <row r="340" spans="1:27" s="93" customFormat="1" ht="15.75" hidden="1" customHeight="1" x14ac:dyDescent="0.25">
      <c r="A340" s="52"/>
      <c r="B340" s="103"/>
      <c r="C340" s="87" t="e">
        <v>#N/A</v>
      </c>
      <c r="D340" s="87" t="e">
        <v>#N/A</v>
      </c>
      <c r="E340" s="103"/>
      <c r="F340" s="107"/>
      <c r="G340" s="108"/>
      <c r="H340" s="95"/>
      <c r="I340" s="95"/>
      <c r="J340" s="89"/>
      <c r="K340" s="89"/>
      <c r="L340" s="89"/>
      <c r="M340" s="89"/>
      <c r="N340" s="89"/>
      <c r="O340" s="86"/>
      <c r="P340" s="86"/>
      <c r="Q340" s="14" t="e">
        <v>#N/A</v>
      </c>
      <c r="R340" s="14" t="e">
        <v>#N/A</v>
      </c>
      <c r="S340" s="14"/>
      <c r="T340" s="90"/>
      <c r="U340" s="14"/>
      <c r="V340" s="14"/>
      <c r="W340" s="14"/>
      <c r="X340" s="86"/>
      <c r="Y340" s="59">
        <f ca="1">Table25[[#This Row],[End Date]]+2-TODAY()</f>
        <v>-45816</v>
      </c>
      <c r="Z340" s="14">
        <f>IF(ISBLANK(Table25[[#This Row],[Roster Received By]]),1,0)</f>
        <v>1</v>
      </c>
      <c r="AA340" s="14">
        <f ca="1">IF(Table25[[#This Row],[Start Date]]&gt;TODAY(),1,)</f>
        <v>0</v>
      </c>
    </row>
    <row r="341" spans="1:27" s="93" customFormat="1" ht="15.75" hidden="1" customHeight="1" x14ac:dyDescent="0.25">
      <c r="A341" s="86"/>
      <c r="B341" s="103"/>
      <c r="C341" s="87" t="e">
        <v>#N/A</v>
      </c>
      <c r="D341" s="87" t="e">
        <v>#N/A</v>
      </c>
      <c r="E341" s="103"/>
      <c r="F341" s="119"/>
      <c r="G341" s="119"/>
      <c r="H341" s="95"/>
      <c r="I341" s="95"/>
      <c r="J341" s="89"/>
      <c r="K341" s="89"/>
      <c r="L341" s="89"/>
      <c r="M341" s="89"/>
      <c r="N341" s="89"/>
      <c r="O341" s="86"/>
      <c r="P341" s="86"/>
      <c r="Q341" s="14" t="e">
        <v>#N/A</v>
      </c>
      <c r="R341" s="14" t="e">
        <v>#N/A</v>
      </c>
      <c r="S341" s="14"/>
      <c r="T341" s="90"/>
      <c r="U341" s="14"/>
      <c r="V341" s="14"/>
      <c r="W341" s="14"/>
      <c r="X341" s="86"/>
      <c r="Y341" s="59">
        <f ca="1">Table25[[#This Row],[End Date]]+2-TODAY()</f>
        <v>-45816</v>
      </c>
      <c r="Z341" s="14">
        <f>IF(ISBLANK(Table25[[#This Row],[Roster Received By]]),1,0)</f>
        <v>1</v>
      </c>
      <c r="AA341" s="14">
        <f ca="1">IF(Table25[[#This Row],[Start Date]]&gt;TODAY(),1,)</f>
        <v>0</v>
      </c>
    </row>
    <row r="342" spans="1:27" s="93" customFormat="1" ht="15.75" hidden="1" customHeight="1" x14ac:dyDescent="0.25">
      <c r="A342" s="52"/>
      <c r="B342" s="103"/>
      <c r="C342" s="87" t="e">
        <v>#N/A</v>
      </c>
      <c r="D342" s="87" t="e">
        <v>#N/A</v>
      </c>
      <c r="E342" s="55"/>
      <c r="F342" s="120"/>
      <c r="G342" s="120"/>
      <c r="H342" s="88"/>
      <c r="I342" s="88"/>
      <c r="J342" s="89"/>
      <c r="K342" s="89"/>
      <c r="L342" s="89"/>
      <c r="M342" s="89"/>
      <c r="N342" s="89"/>
      <c r="O342" s="86"/>
      <c r="P342" s="86"/>
      <c r="Q342" s="14" t="e">
        <v>#N/A</v>
      </c>
      <c r="R342" s="14" t="e">
        <v>#N/A</v>
      </c>
      <c r="S342" s="14"/>
      <c r="T342" s="90"/>
      <c r="U342" s="14"/>
      <c r="V342" s="14"/>
      <c r="W342" s="14"/>
      <c r="X342" s="86"/>
      <c r="Y342" s="59">
        <f ca="1">Table25[[#This Row],[End Date]]+2-TODAY()</f>
        <v>-45816</v>
      </c>
      <c r="Z342" s="14">
        <f>IF(ISBLANK(Table25[[#This Row],[Roster Received By]]),1,0)</f>
        <v>1</v>
      </c>
      <c r="AA342" s="14">
        <f ca="1">IF(Table25[[#This Row],[Start Date]]&gt;TODAY(),1,)</f>
        <v>0</v>
      </c>
    </row>
    <row r="343" spans="1:27" s="93" customFormat="1" ht="15.75" hidden="1" customHeight="1" x14ac:dyDescent="0.25">
      <c r="A343" s="86"/>
      <c r="B343" s="105"/>
      <c r="C343" s="87" t="e">
        <v>#N/A</v>
      </c>
      <c r="D343" s="87" t="e">
        <v>#N/A</v>
      </c>
      <c r="E343" s="103"/>
      <c r="F343" s="119"/>
      <c r="G343" s="119"/>
      <c r="H343" s="89"/>
      <c r="I343" s="88"/>
      <c r="J343" s="88"/>
      <c r="K343" s="88"/>
      <c r="L343" s="88"/>
      <c r="M343" s="88"/>
      <c r="N343" s="88"/>
      <c r="O343" s="86"/>
      <c r="P343" s="86"/>
      <c r="Q343" s="14" t="e">
        <v>#N/A</v>
      </c>
      <c r="R343" s="14" t="e">
        <v>#N/A</v>
      </c>
      <c r="S343" s="14"/>
      <c r="T343" s="90"/>
      <c r="U343" s="14"/>
      <c r="V343" s="14"/>
      <c r="W343" s="14"/>
      <c r="X343" s="86"/>
      <c r="Y343" s="59">
        <f ca="1">Table25[[#This Row],[End Date]]+2-TODAY()</f>
        <v>-45816</v>
      </c>
      <c r="Z343" s="14">
        <f>IF(ISBLANK(Table25[[#This Row],[Roster Received By]]),1,0)</f>
        <v>1</v>
      </c>
      <c r="AA343" s="14">
        <f ca="1">IF(Table25[[#This Row],[Start Date]]&gt;TODAY(),1,)</f>
        <v>0</v>
      </c>
    </row>
    <row r="344" spans="1:27" s="93" customFormat="1" ht="15.75" hidden="1" customHeight="1" x14ac:dyDescent="0.25">
      <c r="A344" s="86"/>
      <c r="B344" s="103"/>
      <c r="C344" s="87" t="e">
        <v>#N/A</v>
      </c>
      <c r="D344" s="87" t="e">
        <v>#N/A</v>
      </c>
      <c r="E344" s="103"/>
      <c r="F344" s="119"/>
      <c r="G344" s="119"/>
      <c r="H344" s="92"/>
      <c r="I344" s="92"/>
      <c r="J344" s="89"/>
      <c r="K344" s="89"/>
      <c r="L344" s="89"/>
      <c r="M344" s="89"/>
      <c r="N344" s="89"/>
      <c r="O344" s="86"/>
      <c r="P344" s="86"/>
      <c r="Q344" s="14" t="e">
        <v>#N/A</v>
      </c>
      <c r="R344" s="14" t="e">
        <v>#N/A</v>
      </c>
      <c r="S344" s="14"/>
      <c r="T344" s="90"/>
      <c r="U344" s="14"/>
      <c r="V344" s="14"/>
      <c r="W344" s="14"/>
      <c r="X344" s="86"/>
      <c r="Y344" s="59">
        <f ca="1">Table25[[#This Row],[End Date]]+2-TODAY()</f>
        <v>-45816</v>
      </c>
      <c r="Z344" s="14">
        <f>IF(ISBLANK(Table25[[#This Row],[Roster Received By]]),1,0)</f>
        <v>1</v>
      </c>
      <c r="AA344" s="14">
        <f ca="1">IF(Table25[[#This Row],[Start Date]]&gt;TODAY(),1,)</f>
        <v>0</v>
      </c>
    </row>
    <row r="345" spans="1:27" s="93" customFormat="1" ht="15.75" hidden="1" customHeight="1" x14ac:dyDescent="0.25">
      <c r="A345" s="52"/>
      <c r="B345" s="103"/>
      <c r="C345" s="87" t="e">
        <v>#N/A</v>
      </c>
      <c r="D345" s="87" t="e">
        <v>#N/A</v>
      </c>
      <c r="E345" s="55"/>
      <c r="F345" s="119"/>
      <c r="G345" s="119"/>
      <c r="H345" s="92"/>
      <c r="I345" s="92"/>
      <c r="J345" s="89"/>
      <c r="K345" s="89"/>
      <c r="L345" s="89"/>
      <c r="M345" s="89"/>
      <c r="N345" s="89"/>
      <c r="O345" s="86"/>
      <c r="P345" s="86"/>
      <c r="Q345" s="14" t="e">
        <v>#N/A</v>
      </c>
      <c r="R345" s="14" t="e">
        <v>#N/A</v>
      </c>
      <c r="S345" s="14"/>
      <c r="T345" s="90"/>
      <c r="U345" s="14"/>
      <c r="V345" s="14"/>
      <c r="W345" s="14"/>
      <c r="X345" s="86"/>
      <c r="Y345" s="59">
        <f ca="1">Table25[[#This Row],[End Date]]+2-TODAY()</f>
        <v>-45816</v>
      </c>
      <c r="Z345" s="14">
        <f>IF(ISBLANK(Table25[[#This Row],[Roster Received By]]),1,0)</f>
        <v>1</v>
      </c>
      <c r="AA345" s="14">
        <f ca="1">IF(Table25[[#This Row],[Start Date]]&gt;TODAY(),1,)</f>
        <v>0</v>
      </c>
    </row>
    <row r="346" spans="1:27" s="93" customFormat="1" ht="15.75" hidden="1" customHeight="1" x14ac:dyDescent="0.25">
      <c r="A346" s="52"/>
      <c r="B346" s="103"/>
      <c r="C346" s="87" t="e">
        <v>#N/A</v>
      </c>
      <c r="D346" s="87" t="e">
        <v>#N/A</v>
      </c>
      <c r="E346" s="55"/>
      <c r="F346" s="85"/>
      <c r="G346" s="85"/>
      <c r="H346" s="88"/>
      <c r="I346" s="88"/>
      <c r="J346" s="89"/>
      <c r="K346" s="89"/>
      <c r="L346" s="89"/>
      <c r="M346" s="89"/>
      <c r="N346" s="89"/>
      <c r="O346" s="86"/>
      <c r="P346" s="86"/>
      <c r="Q346" s="14" t="e">
        <v>#N/A</v>
      </c>
      <c r="R346" s="14" t="e">
        <v>#N/A</v>
      </c>
      <c r="S346" s="14"/>
      <c r="T346" s="90"/>
      <c r="U346" s="14"/>
      <c r="V346" s="14"/>
      <c r="W346" s="14"/>
      <c r="X346" s="86"/>
      <c r="Y346" s="59">
        <f ca="1">Table25[[#This Row],[End Date]]+2-TODAY()</f>
        <v>-45816</v>
      </c>
      <c r="Z346" s="14">
        <f>IF(ISBLANK(Table25[[#This Row],[Roster Received By]]),1,0)</f>
        <v>1</v>
      </c>
      <c r="AA346" s="14">
        <f ca="1">IF(Table25[[#This Row],[Start Date]]&gt;TODAY(),1,)</f>
        <v>0</v>
      </c>
    </row>
    <row r="347" spans="1:27" s="93" customFormat="1" ht="15.75" hidden="1" customHeight="1" x14ac:dyDescent="0.25">
      <c r="A347" s="52"/>
      <c r="B347" s="103"/>
      <c r="C347" s="87" t="e">
        <v>#N/A</v>
      </c>
      <c r="D347" s="87" t="e">
        <v>#N/A</v>
      </c>
      <c r="E347" s="103"/>
      <c r="F347" s="97"/>
      <c r="G347" s="97"/>
      <c r="H347" s="89"/>
      <c r="I347" s="88"/>
      <c r="J347" s="88"/>
      <c r="K347" s="88"/>
      <c r="L347" s="88"/>
      <c r="M347" s="88"/>
      <c r="N347" s="88"/>
      <c r="O347" s="86"/>
      <c r="P347" s="86"/>
      <c r="Q347" s="14" t="e">
        <v>#N/A</v>
      </c>
      <c r="R347" s="14" t="e">
        <v>#N/A</v>
      </c>
      <c r="S347" s="14"/>
      <c r="T347" s="90"/>
      <c r="U347" s="14"/>
      <c r="V347" s="14"/>
      <c r="W347" s="14"/>
      <c r="X347" s="86"/>
      <c r="Y347" s="59">
        <f ca="1">Table25[[#This Row],[End Date]]+2-TODAY()</f>
        <v>-45816</v>
      </c>
      <c r="Z347" s="14">
        <f>IF(ISBLANK(Table25[[#This Row],[Roster Received By]]),1,0)</f>
        <v>1</v>
      </c>
      <c r="AA347" s="14">
        <f ca="1">IF(Table25[[#This Row],[Start Date]]&gt;TODAY(),1,)</f>
        <v>0</v>
      </c>
    </row>
    <row r="348" spans="1:27" s="87" customFormat="1" hidden="1" x14ac:dyDescent="0.25">
      <c r="A348" s="52"/>
      <c r="B348" s="105"/>
      <c r="C348" s="87" t="e">
        <v>#N/A</v>
      </c>
      <c r="D348" s="87" t="e">
        <v>#N/A</v>
      </c>
      <c r="E348" s="103"/>
      <c r="F348" s="97"/>
      <c r="G348" s="97"/>
      <c r="H348" s="89"/>
      <c r="I348" s="88"/>
      <c r="J348" s="88"/>
      <c r="K348" s="88"/>
      <c r="L348" s="88"/>
      <c r="M348" s="88"/>
      <c r="N348" s="88"/>
      <c r="O348" s="86"/>
      <c r="P348" s="86"/>
      <c r="Q348" s="14" t="e">
        <v>#N/A</v>
      </c>
      <c r="R348" s="14" t="e">
        <v>#N/A</v>
      </c>
      <c r="S348" s="14"/>
      <c r="T348" s="90"/>
      <c r="U348" s="14"/>
      <c r="V348" s="14"/>
      <c r="W348" s="14"/>
      <c r="X348" s="86"/>
      <c r="Y348" s="59">
        <f ca="1">Table25[[#This Row],[End Date]]+2-TODAY()</f>
        <v>-45816</v>
      </c>
      <c r="Z348" s="14">
        <f>IF(ISBLANK(Table25[[#This Row],[Roster Received By]]),1,0)</f>
        <v>1</v>
      </c>
      <c r="AA348" s="14">
        <f ca="1">IF(Table25[[#This Row],[Start Date]]&gt;TODAY(),1,)</f>
        <v>0</v>
      </c>
    </row>
    <row r="349" spans="1:27" s="52" customFormat="1" hidden="1" x14ac:dyDescent="0.25">
      <c r="B349" s="105"/>
      <c r="C349" s="87" t="e">
        <v>#N/A</v>
      </c>
      <c r="D349" s="87" t="e">
        <v>#N/A</v>
      </c>
      <c r="E349" s="55"/>
      <c r="F349" s="85"/>
      <c r="G349" s="85"/>
      <c r="H349" s="88"/>
      <c r="I349" s="88"/>
      <c r="J349" s="89"/>
      <c r="K349" s="89"/>
      <c r="L349" s="89"/>
      <c r="M349" s="89"/>
      <c r="N349" s="89"/>
      <c r="O349" s="86"/>
      <c r="P349" s="86"/>
      <c r="Q349" s="14" t="e">
        <v>#N/A</v>
      </c>
      <c r="R349" s="14" t="e">
        <v>#N/A</v>
      </c>
      <c r="S349" s="14"/>
      <c r="T349" s="90"/>
      <c r="U349" s="14"/>
      <c r="V349" s="14"/>
      <c r="W349" s="87"/>
      <c r="X349" s="86"/>
      <c r="Y349" s="96">
        <f ca="1">Table25[[#This Row],[End Date]]+2-TODAY()</f>
        <v>-45816</v>
      </c>
      <c r="Z349" s="14">
        <f>IF(ISBLANK(Table25[[#This Row],[Roster Received By]]),1,0)</f>
        <v>1</v>
      </c>
      <c r="AA349" s="87">
        <f ca="1">IF(Table25[[#This Row],[Start Date]]&gt;TODAY(),1,)</f>
        <v>0</v>
      </c>
    </row>
    <row r="350" spans="1:27" s="52" customFormat="1" hidden="1" x14ac:dyDescent="0.25">
      <c r="B350" s="103"/>
      <c r="C350" s="87" t="e">
        <v>#N/A</v>
      </c>
      <c r="D350" s="87" t="e">
        <v>#N/A</v>
      </c>
      <c r="E350" s="115"/>
      <c r="F350" s="118"/>
      <c r="G350" s="118"/>
      <c r="H350" s="155"/>
      <c r="I350" s="88"/>
      <c r="J350" s="88"/>
      <c r="K350" s="88"/>
      <c r="L350" s="88"/>
      <c r="M350" s="88"/>
      <c r="N350" s="88"/>
      <c r="O350" s="86"/>
      <c r="P350" s="86"/>
      <c r="Q350" s="14" t="e">
        <v>#N/A</v>
      </c>
      <c r="R350" s="14" t="e">
        <v>#N/A</v>
      </c>
      <c r="S350" s="14"/>
      <c r="T350" s="90"/>
      <c r="U350" s="14"/>
      <c r="V350" s="14"/>
      <c r="W350" s="87"/>
      <c r="X350" s="86"/>
      <c r="Y350" s="96">
        <f ca="1">Table25[[#This Row],[End Date]]+2-TODAY()</f>
        <v>-45816</v>
      </c>
      <c r="Z350" s="14">
        <f>IF(ISBLANK(Table25[[#This Row],[Roster Received By]]),1,0)</f>
        <v>1</v>
      </c>
      <c r="AA350" s="87">
        <f ca="1">IF(Table25[[#This Row],[Start Date]]&gt;TODAY(),1,)</f>
        <v>0</v>
      </c>
    </row>
    <row r="351" spans="1:27" s="52" customFormat="1" hidden="1" x14ac:dyDescent="0.25">
      <c r="B351" s="103"/>
      <c r="C351" s="87" t="e">
        <v>#N/A</v>
      </c>
      <c r="D351" s="87" t="e">
        <v>#N/A</v>
      </c>
      <c r="E351" s="103"/>
      <c r="F351" s="97"/>
      <c r="G351" s="97"/>
      <c r="H351" s="89"/>
      <c r="I351" s="88"/>
      <c r="J351" s="88"/>
      <c r="K351" s="88"/>
      <c r="L351" s="88"/>
      <c r="M351" s="88"/>
      <c r="N351" s="88"/>
      <c r="O351" s="86"/>
      <c r="P351" s="86"/>
      <c r="Q351" s="14" t="e">
        <v>#N/A</v>
      </c>
      <c r="R351" s="14" t="e">
        <v>#N/A</v>
      </c>
      <c r="S351" s="14"/>
      <c r="T351" s="90"/>
      <c r="U351" s="14"/>
      <c r="V351" s="14"/>
      <c r="W351" s="87"/>
      <c r="X351" s="86"/>
      <c r="Y351" s="96">
        <f ca="1">Table25[[#This Row],[End Date]]+2-TODAY()</f>
        <v>-45816</v>
      </c>
      <c r="Z351" s="14">
        <f>IF(ISBLANK(Table25[[#This Row],[Roster Received By]]),1,0)</f>
        <v>1</v>
      </c>
      <c r="AA351" s="87">
        <f ca="1">IF(Table25[[#This Row],[Start Date]]&gt;TODAY(),1,)</f>
        <v>0</v>
      </c>
    </row>
    <row r="352" spans="1:27" s="52" customFormat="1" hidden="1" x14ac:dyDescent="0.25">
      <c r="B352" s="103"/>
      <c r="C352" s="87" t="e">
        <v>#N/A</v>
      </c>
      <c r="D352" s="87" t="e">
        <v>#N/A</v>
      </c>
      <c r="E352" s="103"/>
      <c r="F352" s="97"/>
      <c r="G352" s="97"/>
      <c r="H352" s="89"/>
      <c r="I352" s="88"/>
      <c r="J352" s="88"/>
      <c r="K352" s="88"/>
      <c r="L352" s="88"/>
      <c r="M352" s="88"/>
      <c r="N352" s="88"/>
      <c r="O352" s="86"/>
      <c r="P352" s="86"/>
      <c r="Q352" s="14" t="e">
        <v>#N/A</v>
      </c>
      <c r="R352" s="14" t="e">
        <v>#N/A</v>
      </c>
      <c r="S352" s="14"/>
      <c r="T352" s="90"/>
      <c r="U352" s="14"/>
      <c r="V352" s="14"/>
      <c r="W352" s="87"/>
      <c r="X352" s="86"/>
      <c r="Y352" s="96">
        <f ca="1">Table25[[#This Row],[End Date]]+2-TODAY()</f>
        <v>-45816</v>
      </c>
      <c r="Z352" s="14">
        <f>IF(ISBLANK(Table25[[#This Row],[Roster Received By]]),1,0)</f>
        <v>1</v>
      </c>
      <c r="AA352" s="87">
        <f ca="1">IF(Table25[[#This Row],[Start Date]]&gt;TODAY(),1,)</f>
        <v>0</v>
      </c>
    </row>
    <row r="353" spans="1:27" s="52" customFormat="1" hidden="1" x14ac:dyDescent="0.25">
      <c r="B353" s="103"/>
      <c r="C353" s="87" t="e">
        <v>#N/A</v>
      </c>
      <c r="D353" s="87" t="e">
        <v>#N/A</v>
      </c>
      <c r="E353" s="103"/>
      <c r="F353" s="97"/>
      <c r="G353" s="97"/>
      <c r="H353" s="92"/>
      <c r="I353" s="92"/>
      <c r="J353" s="92"/>
      <c r="K353" s="92"/>
      <c r="L353" s="92"/>
      <c r="M353" s="92"/>
      <c r="N353" s="89"/>
      <c r="O353" s="86"/>
      <c r="P353" s="86"/>
      <c r="Q353" s="14" t="e">
        <v>#N/A</v>
      </c>
      <c r="R353" s="14" t="e">
        <v>#N/A</v>
      </c>
      <c r="S353" s="14"/>
      <c r="T353" s="90"/>
      <c r="U353" s="14"/>
      <c r="V353" s="14"/>
      <c r="W353" s="87"/>
      <c r="X353" s="86"/>
      <c r="Y353" s="96">
        <f ca="1">Table25[[#This Row],[End Date]]+2-TODAY()</f>
        <v>-45816</v>
      </c>
      <c r="Z353" s="14">
        <f>IF(ISBLANK(Table25[[#This Row],[Roster Received By]]),1,0)</f>
        <v>1</v>
      </c>
      <c r="AA353" s="87">
        <f ca="1">IF(Table25[[#This Row],[Start Date]]&gt;TODAY(),1,)</f>
        <v>0</v>
      </c>
    </row>
    <row r="354" spans="1:27" s="52" customFormat="1" hidden="1" x14ac:dyDescent="0.25">
      <c r="A354" s="86"/>
      <c r="B354" s="105"/>
      <c r="C354" s="87" t="e">
        <v>#N/A</v>
      </c>
      <c r="D354" s="87" t="e">
        <v>#N/A</v>
      </c>
      <c r="E354" s="103"/>
      <c r="F354" s="97"/>
      <c r="G354" s="97"/>
      <c r="H354" s="92"/>
      <c r="I354" s="92"/>
      <c r="J354" s="89"/>
      <c r="K354" s="89"/>
      <c r="L354" s="89"/>
      <c r="M354" s="89"/>
      <c r="N354" s="89"/>
      <c r="O354" s="86"/>
      <c r="P354" s="86"/>
      <c r="Q354" s="14" t="e">
        <v>#N/A</v>
      </c>
      <c r="R354" s="14" t="e">
        <v>#N/A</v>
      </c>
      <c r="S354" s="14"/>
      <c r="T354" s="90"/>
      <c r="U354" s="14"/>
      <c r="V354" s="14"/>
      <c r="W354" s="87"/>
      <c r="X354" s="86"/>
      <c r="Y354" s="96">
        <f ca="1">Table25[[#This Row],[End Date]]+2-TODAY()</f>
        <v>-45816</v>
      </c>
      <c r="Z354" s="14">
        <f>IF(ISBLANK(Table25[[#This Row],[Roster Received By]]),1,0)</f>
        <v>1</v>
      </c>
      <c r="AA354" s="87">
        <f ca="1">IF(Table25[[#This Row],[Start Date]]&gt;TODAY(),1,)</f>
        <v>0</v>
      </c>
    </row>
    <row r="355" spans="1:27" s="52" customFormat="1" hidden="1" x14ac:dyDescent="0.25">
      <c r="B355" s="103"/>
      <c r="C355" s="87" t="e">
        <v>#N/A</v>
      </c>
      <c r="D355" s="87" t="e">
        <v>#N/A</v>
      </c>
      <c r="E355" s="103"/>
      <c r="F355" s="97"/>
      <c r="G355" s="97"/>
      <c r="H355" s="92"/>
      <c r="I355" s="92"/>
      <c r="J355" s="89"/>
      <c r="K355" s="89"/>
      <c r="L355" s="89"/>
      <c r="M355" s="89"/>
      <c r="N355" s="89"/>
      <c r="O355" s="86"/>
      <c r="P355" s="86"/>
      <c r="Q355" s="14" t="e">
        <v>#N/A</v>
      </c>
      <c r="R355" s="14" t="e">
        <v>#N/A</v>
      </c>
      <c r="S355" s="90"/>
      <c r="T355" s="90"/>
      <c r="U355" s="14"/>
      <c r="V355" s="14"/>
      <c r="W355" s="87"/>
      <c r="X355" s="86"/>
      <c r="Y355" s="96">
        <f ca="1">Table25[[#This Row],[End Date]]+2-TODAY()</f>
        <v>-45816</v>
      </c>
      <c r="Z355" s="14">
        <f>IF(ISBLANK(Table25[[#This Row],[Roster Received By]]),1,0)</f>
        <v>1</v>
      </c>
      <c r="AA355" s="87">
        <f ca="1">IF(Table25[[#This Row],[Start Date]]&gt;TODAY(),1,)</f>
        <v>0</v>
      </c>
    </row>
    <row r="356" spans="1:27" s="52" customFormat="1" hidden="1" x14ac:dyDescent="0.25">
      <c r="B356" s="103"/>
      <c r="C356" s="87" t="e">
        <v>#N/A</v>
      </c>
      <c r="D356" s="87" t="e">
        <v>#N/A</v>
      </c>
      <c r="E356" s="55"/>
      <c r="F356" s="97"/>
      <c r="G356" s="97"/>
      <c r="H356" s="92"/>
      <c r="I356" s="92"/>
      <c r="J356" s="89"/>
      <c r="K356" s="89"/>
      <c r="L356" s="89"/>
      <c r="M356" s="89"/>
      <c r="N356" s="89"/>
      <c r="O356" s="86"/>
      <c r="P356" s="86"/>
      <c r="Q356" s="14" t="e">
        <v>#N/A</v>
      </c>
      <c r="R356" s="14" t="e">
        <v>#N/A</v>
      </c>
      <c r="S356" s="14"/>
      <c r="T356" s="90"/>
      <c r="U356" s="14"/>
      <c r="V356" s="14"/>
      <c r="W356" s="87"/>
      <c r="X356" s="86"/>
      <c r="Y356" s="96">
        <f ca="1">Table25[[#This Row],[End Date]]+2-TODAY()</f>
        <v>-45816</v>
      </c>
      <c r="Z356" s="14">
        <f>IF(ISBLANK(Table25[[#This Row],[Roster Received By]]),1,0)</f>
        <v>1</v>
      </c>
      <c r="AA356" s="87">
        <f ca="1">IF(Table25[[#This Row],[Start Date]]&gt;TODAY(),1,)</f>
        <v>0</v>
      </c>
    </row>
    <row r="357" spans="1:27" s="52" customFormat="1" hidden="1" x14ac:dyDescent="0.25">
      <c r="A357" s="86"/>
      <c r="B357" s="105"/>
      <c r="C357" s="87" t="e">
        <v>#N/A</v>
      </c>
      <c r="D357" s="87" t="e">
        <v>#N/A</v>
      </c>
      <c r="E357" s="103"/>
      <c r="F357" s="89"/>
      <c r="G357" s="89"/>
      <c r="H357" s="92"/>
      <c r="I357" s="92"/>
      <c r="J357" s="89"/>
      <c r="K357" s="89"/>
      <c r="L357" s="89"/>
      <c r="M357" s="89"/>
      <c r="N357" s="89"/>
      <c r="O357" s="86"/>
      <c r="P357" s="86"/>
      <c r="Q357" s="14" t="e">
        <v>#N/A</v>
      </c>
      <c r="R357" s="14" t="e">
        <v>#N/A</v>
      </c>
      <c r="S357" s="14"/>
      <c r="T357" s="90"/>
      <c r="U357" s="14"/>
      <c r="V357" s="14"/>
      <c r="W357" s="87"/>
      <c r="X357" s="86"/>
      <c r="Y357" s="96">
        <f ca="1">Table25[[#This Row],[End Date]]+2-TODAY()</f>
        <v>-45816</v>
      </c>
      <c r="Z357" s="14">
        <f>IF(ISBLANK(Table25[[#This Row],[Roster Received By]]),1,0)</f>
        <v>1</v>
      </c>
      <c r="AA357" s="87">
        <f ca="1">IF(Table25[[#This Row],[Start Date]]&gt;TODAY(),1,)</f>
        <v>0</v>
      </c>
    </row>
    <row r="358" spans="1:27" s="52" customFormat="1" hidden="1" x14ac:dyDescent="0.25">
      <c r="B358" s="114"/>
      <c r="C358" s="87" t="e">
        <v>#N/A</v>
      </c>
      <c r="D358" s="87" t="e">
        <v>#N/A</v>
      </c>
      <c r="E358" s="103"/>
      <c r="F358" s="89"/>
      <c r="G358" s="89"/>
      <c r="H358" s="89"/>
      <c r="I358" s="88"/>
      <c r="J358" s="88"/>
      <c r="K358" s="88"/>
      <c r="L358" s="88"/>
      <c r="M358" s="88"/>
      <c r="N358" s="88"/>
      <c r="O358" s="86"/>
      <c r="P358" s="86"/>
      <c r="Q358" s="14" t="e">
        <v>#N/A</v>
      </c>
      <c r="R358" s="14" t="e">
        <v>#N/A</v>
      </c>
      <c r="S358" s="14"/>
      <c r="T358" s="90"/>
      <c r="U358" s="14"/>
      <c r="V358" s="14"/>
      <c r="W358" s="87"/>
      <c r="X358" s="86"/>
      <c r="Y358" s="96">
        <f ca="1">Table25[[#This Row],[End Date]]+2-TODAY()</f>
        <v>-45816</v>
      </c>
      <c r="Z358" s="14">
        <f>IF(ISBLANK(Table25[[#This Row],[Roster Received By]]),1,0)</f>
        <v>1</v>
      </c>
      <c r="AA358" s="87">
        <f ca="1">IF(Table25[[#This Row],[Start Date]]&gt;TODAY(),1,)</f>
        <v>0</v>
      </c>
    </row>
    <row r="359" spans="1:27" s="52" customFormat="1" hidden="1" x14ac:dyDescent="0.25">
      <c r="B359" s="105"/>
      <c r="C359" s="87" t="e">
        <v>#N/A</v>
      </c>
      <c r="D359" s="87" t="e">
        <v>#N/A</v>
      </c>
      <c r="E359" s="103"/>
      <c r="F359" s="89"/>
      <c r="G359" s="89"/>
      <c r="H359" s="92"/>
      <c r="I359" s="92"/>
      <c r="J359" s="89"/>
      <c r="K359" s="89"/>
      <c r="L359" s="89"/>
      <c r="M359" s="89"/>
      <c r="N359" s="89"/>
      <c r="O359" s="86"/>
      <c r="P359" s="86"/>
      <c r="Q359" s="14" t="e">
        <v>#N/A</v>
      </c>
      <c r="R359" s="14" t="e">
        <v>#N/A</v>
      </c>
      <c r="S359" s="14"/>
      <c r="T359" s="90"/>
      <c r="U359" s="14"/>
      <c r="V359" s="14"/>
      <c r="W359" s="87"/>
      <c r="X359" s="86"/>
      <c r="Y359" s="96">
        <f ca="1">Table25[[#This Row],[End Date]]+2-TODAY()</f>
        <v>-45816</v>
      </c>
      <c r="Z359" s="14">
        <f>IF(ISBLANK(Table25[[#This Row],[Roster Received By]]),1,0)</f>
        <v>1</v>
      </c>
      <c r="AA359" s="87">
        <f ca="1">IF(Table25[[#This Row],[Start Date]]&gt;TODAY(),1,)</f>
        <v>0</v>
      </c>
    </row>
    <row r="360" spans="1:27" s="52" customFormat="1" hidden="1" x14ac:dyDescent="0.25">
      <c r="B360" s="103"/>
      <c r="C360" s="87" t="e">
        <v>#N/A</v>
      </c>
      <c r="D360" s="87" t="e">
        <v>#N/A</v>
      </c>
      <c r="E360" s="86"/>
      <c r="F360" s="89"/>
      <c r="G360" s="89"/>
      <c r="H360" s="92"/>
      <c r="I360" s="99"/>
      <c r="J360" s="99"/>
      <c r="K360" s="99"/>
      <c r="L360" s="99"/>
      <c r="M360" s="99"/>
      <c r="N360" s="99"/>
      <c r="O360" s="86"/>
      <c r="P360" s="86"/>
      <c r="Q360" s="14" t="e">
        <v>#N/A</v>
      </c>
      <c r="R360" s="14" t="e">
        <v>#N/A</v>
      </c>
      <c r="S360" s="90"/>
      <c r="T360" s="100"/>
      <c r="U360" s="100"/>
      <c r="V360" s="100"/>
      <c r="W360" s="100"/>
      <c r="X360" s="86"/>
      <c r="Y360" s="100"/>
    </row>
    <row r="361" spans="1:27" s="52" customFormat="1" hidden="1" x14ac:dyDescent="0.25">
      <c r="A361" s="54"/>
      <c r="B361" s="103"/>
      <c r="C361" s="87" t="e">
        <v>#N/A</v>
      </c>
      <c r="D361" s="87" t="e">
        <v>#N/A</v>
      </c>
      <c r="E361" s="103"/>
      <c r="F361" s="89"/>
      <c r="G361" s="89"/>
      <c r="H361" s="89"/>
      <c r="I361" s="88"/>
      <c r="J361" s="88"/>
      <c r="K361" s="88"/>
      <c r="L361" s="88"/>
      <c r="M361" s="88"/>
      <c r="N361" s="88"/>
      <c r="O361" s="86"/>
      <c r="P361" s="86"/>
      <c r="Q361" s="14" t="e">
        <v>#N/A</v>
      </c>
      <c r="R361" s="14" t="e">
        <v>#N/A</v>
      </c>
      <c r="S361" s="14"/>
      <c r="T361" s="90"/>
      <c r="U361" s="14"/>
      <c r="V361" s="14"/>
      <c r="W361" s="87"/>
      <c r="X361" s="86"/>
      <c r="Y361" s="96">
        <f ca="1">Table25[[#This Row],[End Date]]+2-TODAY()</f>
        <v>-45816</v>
      </c>
      <c r="Z361" s="14">
        <f>IF(ISBLANK(Table25[[#This Row],[Roster Received By]]),1,0)</f>
        <v>1</v>
      </c>
      <c r="AA361" s="87">
        <f ca="1">IF(Table25[[#This Row],[Start Date]]&gt;TODAY(),1,)</f>
        <v>0</v>
      </c>
    </row>
    <row r="362" spans="1:27" s="52" customFormat="1" hidden="1" x14ac:dyDescent="0.25">
      <c r="B362" s="103"/>
      <c r="C362" s="87" t="e">
        <v>#N/A</v>
      </c>
      <c r="D362" s="87" t="e">
        <v>#N/A</v>
      </c>
      <c r="E362" s="103"/>
      <c r="F362" s="89"/>
      <c r="G362" s="89"/>
      <c r="H362" s="92"/>
      <c r="I362" s="92"/>
      <c r="J362" s="89"/>
      <c r="K362" s="89"/>
      <c r="L362" s="89"/>
      <c r="M362" s="89"/>
      <c r="N362" s="89"/>
      <c r="O362" s="86"/>
      <c r="P362" s="86"/>
      <c r="Q362" s="14" t="e">
        <v>#N/A</v>
      </c>
      <c r="R362" s="14" t="e">
        <v>#N/A</v>
      </c>
      <c r="S362" s="14"/>
      <c r="T362" s="90"/>
      <c r="U362" s="14"/>
      <c r="V362" s="14"/>
      <c r="W362" s="87"/>
      <c r="X362" s="86"/>
      <c r="Y362" s="96">
        <f ca="1">Table25[[#This Row],[End Date]]+2-TODAY()</f>
        <v>-45816</v>
      </c>
      <c r="Z362" s="14">
        <f>IF(ISBLANK(Table25[[#This Row],[Roster Received By]]),1,0)</f>
        <v>1</v>
      </c>
      <c r="AA362" s="87">
        <f ca="1">IF(Table25[[#This Row],[Start Date]]&gt;TODAY(),1,)</f>
        <v>0</v>
      </c>
    </row>
    <row r="363" spans="1:27" s="52" customFormat="1" hidden="1" x14ac:dyDescent="0.25">
      <c r="A363" s="86"/>
      <c r="B363" s="105"/>
      <c r="C363" s="87" t="e">
        <v>#N/A</v>
      </c>
      <c r="D363" s="87" t="e">
        <v>#N/A</v>
      </c>
      <c r="E363" s="103"/>
      <c r="F363" s="89"/>
      <c r="G363" s="89"/>
      <c r="H363" s="92"/>
      <c r="I363" s="92"/>
      <c r="J363" s="89"/>
      <c r="K363" s="89"/>
      <c r="L363" s="89"/>
      <c r="M363" s="89"/>
      <c r="N363" s="89"/>
      <c r="O363" s="86"/>
      <c r="P363" s="86"/>
      <c r="Q363" s="14" t="e">
        <v>#N/A</v>
      </c>
      <c r="R363" s="14" t="e">
        <v>#N/A</v>
      </c>
      <c r="S363" s="14"/>
      <c r="T363" s="90"/>
      <c r="U363" s="14"/>
      <c r="V363" s="14"/>
      <c r="W363" s="87"/>
      <c r="X363" s="86"/>
      <c r="Y363" s="96">
        <f ca="1">Table25[[#This Row],[End Date]]+2-TODAY()</f>
        <v>-45816</v>
      </c>
      <c r="Z363" s="14">
        <f>IF(ISBLANK(Table25[[#This Row],[Roster Received By]]),1,0)</f>
        <v>1</v>
      </c>
      <c r="AA363" s="87">
        <f ca="1">IF(Table25[[#This Row],[Start Date]]&gt;TODAY(),1,)</f>
        <v>0</v>
      </c>
    </row>
    <row r="364" spans="1:27" s="52" customFormat="1" hidden="1" x14ac:dyDescent="0.25">
      <c r="B364" s="103"/>
      <c r="C364" s="87" t="e">
        <v>#N/A</v>
      </c>
      <c r="D364" s="87" t="e">
        <v>#N/A</v>
      </c>
      <c r="E364" s="103"/>
      <c r="F364" s="89"/>
      <c r="G364" s="89"/>
      <c r="H364" s="89"/>
      <c r="I364" s="88"/>
      <c r="J364" s="88"/>
      <c r="K364" s="88"/>
      <c r="L364" s="88"/>
      <c r="M364" s="88"/>
      <c r="N364" s="88"/>
      <c r="O364" s="86"/>
      <c r="P364" s="86"/>
      <c r="Q364" s="14" t="e">
        <v>#N/A</v>
      </c>
      <c r="R364" s="14" t="e">
        <v>#N/A</v>
      </c>
      <c r="S364" s="14"/>
      <c r="T364" s="90"/>
      <c r="U364" s="14"/>
      <c r="V364" s="14"/>
      <c r="W364" s="87"/>
      <c r="X364" s="86"/>
      <c r="Y364" s="96">
        <f ca="1">Table25[[#This Row],[End Date]]+2-TODAY()</f>
        <v>-45816</v>
      </c>
      <c r="Z364" s="14">
        <f>IF(ISBLANK(Table25[[#This Row],[Roster Received By]]),1,0)</f>
        <v>1</v>
      </c>
      <c r="AA364" s="87">
        <f ca="1">IF(Table25[[#This Row],[Start Date]]&gt;TODAY(),1,)</f>
        <v>0</v>
      </c>
    </row>
    <row r="365" spans="1:27" s="52" customFormat="1" hidden="1" x14ac:dyDescent="0.25">
      <c r="B365" s="103"/>
      <c r="C365" s="87" t="e">
        <v>#N/A</v>
      </c>
      <c r="D365" s="87" t="e">
        <v>#N/A</v>
      </c>
      <c r="E365" s="103"/>
      <c r="F365" s="89"/>
      <c r="G365" s="89"/>
      <c r="H365" s="89"/>
      <c r="I365" s="88"/>
      <c r="J365" s="88"/>
      <c r="K365" s="88"/>
      <c r="L365" s="88"/>
      <c r="M365" s="88"/>
      <c r="N365" s="88"/>
      <c r="O365" s="86"/>
      <c r="P365" s="86"/>
      <c r="Q365" s="14" t="e">
        <v>#N/A</v>
      </c>
      <c r="R365" s="14" t="e">
        <v>#N/A</v>
      </c>
      <c r="S365" s="14"/>
      <c r="T365" s="90"/>
      <c r="U365" s="14"/>
      <c r="V365" s="14"/>
      <c r="W365" s="87"/>
      <c r="X365" s="86"/>
      <c r="Y365" s="96">
        <f ca="1">Table25[[#This Row],[End Date]]+2-TODAY()</f>
        <v>-45816</v>
      </c>
      <c r="Z365" s="14">
        <f>IF(ISBLANK(Table25[[#This Row],[Roster Received By]]),1,0)</f>
        <v>1</v>
      </c>
      <c r="AA365" s="87">
        <f ca="1">IF(Table25[[#This Row],[Start Date]]&gt;TODAY(),1,)</f>
        <v>0</v>
      </c>
    </row>
    <row r="366" spans="1:27" s="52" customFormat="1" hidden="1" x14ac:dyDescent="0.25">
      <c r="B366" s="103"/>
      <c r="C366" s="87" t="e">
        <v>#N/A</v>
      </c>
      <c r="D366" s="87" t="e">
        <v>#N/A</v>
      </c>
      <c r="E366" s="103"/>
      <c r="F366" s="89"/>
      <c r="G366" s="89"/>
      <c r="H366" s="89"/>
      <c r="I366" s="88"/>
      <c r="J366" s="88"/>
      <c r="K366" s="88"/>
      <c r="L366" s="88"/>
      <c r="M366" s="88"/>
      <c r="N366" s="88"/>
      <c r="O366" s="86"/>
      <c r="P366" s="86"/>
      <c r="Q366" s="14" t="e">
        <v>#N/A</v>
      </c>
      <c r="R366" s="14" t="e">
        <v>#N/A</v>
      </c>
      <c r="S366" s="14"/>
      <c r="T366" s="90"/>
      <c r="U366" s="14"/>
      <c r="V366" s="14"/>
      <c r="W366" s="87"/>
      <c r="X366" s="86"/>
      <c r="Y366" s="96">
        <f ca="1">Table25[[#This Row],[End Date]]+2-TODAY()</f>
        <v>-45816</v>
      </c>
      <c r="Z366" s="14">
        <f>IF(ISBLANK(Table25[[#This Row],[Roster Received By]]),1,0)</f>
        <v>1</v>
      </c>
      <c r="AA366" s="87">
        <f ca="1">IF(Table25[[#This Row],[Start Date]]&gt;TODAY(),1,)</f>
        <v>0</v>
      </c>
    </row>
    <row r="367" spans="1:27" s="52" customFormat="1" hidden="1" x14ac:dyDescent="0.25">
      <c r="B367" s="103"/>
      <c r="C367" s="87" t="e">
        <v>#N/A</v>
      </c>
      <c r="D367" s="87" t="e">
        <v>#N/A</v>
      </c>
      <c r="E367" s="86"/>
      <c r="F367" s="89"/>
      <c r="G367" s="89"/>
      <c r="H367" s="89"/>
      <c r="I367" s="88"/>
      <c r="J367" s="88"/>
      <c r="K367" s="88"/>
      <c r="L367" s="88"/>
      <c r="M367" s="88"/>
      <c r="N367" s="88"/>
      <c r="O367" s="86"/>
      <c r="P367" s="86"/>
      <c r="Q367" s="14" t="e">
        <v>#N/A</v>
      </c>
      <c r="R367" s="14" t="e">
        <v>#N/A</v>
      </c>
      <c r="S367" s="14"/>
      <c r="T367" s="90"/>
      <c r="U367" s="14"/>
      <c r="V367" s="14"/>
      <c r="W367" s="87"/>
      <c r="X367" s="86"/>
      <c r="Y367" s="96">
        <f ca="1">Table25[[#This Row],[End Date]]+2-TODAY()</f>
        <v>-45816</v>
      </c>
      <c r="Z367" s="14">
        <f>IF(ISBLANK(Table25[[#This Row],[Roster Received By]]),1,0)</f>
        <v>1</v>
      </c>
      <c r="AA367" s="87">
        <f ca="1">IF(Table25[[#This Row],[Start Date]]&gt;TODAY(),1,)</f>
        <v>0</v>
      </c>
    </row>
    <row r="368" spans="1:27" s="52" customFormat="1" hidden="1" x14ac:dyDescent="0.25">
      <c r="B368" s="103"/>
      <c r="C368" s="87" t="e">
        <v>#N/A</v>
      </c>
      <c r="D368" s="87" t="e">
        <v>#N/A</v>
      </c>
      <c r="E368" s="103"/>
      <c r="F368" s="89"/>
      <c r="G368" s="89"/>
      <c r="H368" s="92"/>
      <c r="I368" s="92"/>
      <c r="J368" s="89"/>
      <c r="K368" s="89"/>
      <c r="L368" s="89"/>
      <c r="M368" s="89"/>
      <c r="N368" s="89"/>
      <c r="O368" s="86"/>
      <c r="P368" s="86"/>
      <c r="Q368" s="14" t="e">
        <v>#N/A</v>
      </c>
      <c r="R368" s="14" t="e">
        <v>#N/A</v>
      </c>
      <c r="S368" s="14"/>
      <c r="T368" s="90"/>
      <c r="U368" s="14"/>
      <c r="V368" s="14"/>
      <c r="W368" s="87"/>
      <c r="X368" s="86"/>
      <c r="Y368" s="96">
        <f ca="1">Table25[[#This Row],[End Date]]+2-TODAY()</f>
        <v>-45816</v>
      </c>
      <c r="Z368" s="14">
        <f>IF(ISBLANK(Table25[[#This Row],[Roster Received By]]),1,0)</f>
        <v>1</v>
      </c>
      <c r="AA368" s="87">
        <f ca="1">IF(Table25[[#This Row],[Start Date]]&gt;TODAY(),1,)</f>
        <v>0</v>
      </c>
    </row>
    <row r="369" spans="1:27" s="52" customFormat="1" hidden="1" x14ac:dyDescent="0.25">
      <c r="B369" s="103"/>
      <c r="C369" s="87" t="e">
        <v>#N/A</v>
      </c>
      <c r="D369" s="87" t="e">
        <v>#N/A</v>
      </c>
      <c r="E369" s="103"/>
      <c r="F369" s="89"/>
      <c r="G369" s="89"/>
      <c r="H369" s="92"/>
      <c r="I369" s="92"/>
      <c r="J369" s="89"/>
      <c r="K369" s="89"/>
      <c r="L369" s="89"/>
      <c r="M369" s="89"/>
      <c r="N369" s="89"/>
      <c r="O369" s="86"/>
      <c r="P369" s="86"/>
      <c r="Q369" s="14" t="e">
        <v>#N/A</v>
      </c>
      <c r="R369" s="14" t="e">
        <v>#N/A</v>
      </c>
      <c r="S369" s="14"/>
      <c r="T369" s="90"/>
      <c r="U369" s="14"/>
      <c r="V369" s="14"/>
      <c r="W369" s="87"/>
      <c r="X369" s="86"/>
      <c r="Y369" s="96">
        <f ca="1">Table25[[#This Row],[End Date]]+2-TODAY()</f>
        <v>-45816</v>
      </c>
      <c r="Z369" s="14">
        <f>IF(ISBLANK(Table25[[#This Row],[Roster Received By]]),1,0)</f>
        <v>1</v>
      </c>
      <c r="AA369" s="87">
        <f ca="1">IF(Table25[[#This Row],[Start Date]]&gt;TODAY(),1,)</f>
        <v>0</v>
      </c>
    </row>
    <row r="370" spans="1:27" s="52" customFormat="1" hidden="1" x14ac:dyDescent="0.25">
      <c r="B370" s="103"/>
      <c r="C370" s="87" t="e">
        <v>#N/A</v>
      </c>
      <c r="D370" s="87" t="e">
        <v>#N/A</v>
      </c>
      <c r="E370" s="103"/>
      <c r="F370" s="89"/>
      <c r="G370" s="89"/>
      <c r="H370" s="92"/>
      <c r="I370" s="92"/>
      <c r="J370" s="89"/>
      <c r="K370" s="89"/>
      <c r="L370" s="89"/>
      <c r="M370" s="89"/>
      <c r="N370" s="89"/>
      <c r="O370" s="86"/>
      <c r="P370" s="86"/>
      <c r="Q370" s="14" t="e">
        <v>#N/A</v>
      </c>
      <c r="R370" s="14" t="e">
        <v>#N/A</v>
      </c>
      <c r="S370" s="14"/>
      <c r="T370" s="90"/>
      <c r="U370" s="14"/>
      <c r="V370" s="14"/>
      <c r="W370" s="87"/>
      <c r="X370" s="86"/>
      <c r="Y370" s="96">
        <f ca="1">Table25[[#This Row],[End Date]]+2-TODAY()</f>
        <v>-45816</v>
      </c>
      <c r="Z370" s="14">
        <f>IF(ISBLANK(Table25[[#This Row],[Roster Received By]]),1,0)</f>
        <v>1</v>
      </c>
      <c r="AA370" s="87">
        <f ca="1">IF(Table25[[#This Row],[Start Date]]&gt;TODAY(),1,)</f>
        <v>0</v>
      </c>
    </row>
    <row r="371" spans="1:27" s="52" customFormat="1" hidden="1" x14ac:dyDescent="0.25">
      <c r="B371" s="103"/>
      <c r="C371" s="87" t="e">
        <v>#N/A</v>
      </c>
      <c r="D371" s="87" t="e">
        <v>#N/A</v>
      </c>
      <c r="E371" s="103"/>
      <c r="F371" s="89"/>
      <c r="G371" s="89"/>
      <c r="H371" s="92"/>
      <c r="I371" s="92"/>
      <c r="J371" s="89"/>
      <c r="K371" s="89"/>
      <c r="L371" s="89"/>
      <c r="M371" s="89"/>
      <c r="N371" s="89"/>
      <c r="O371" s="86"/>
      <c r="P371" s="86"/>
      <c r="Q371" s="14" t="e">
        <v>#N/A</v>
      </c>
      <c r="R371" s="14" t="e">
        <v>#N/A</v>
      </c>
      <c r="S371" s="14"/>
      <c r="T371" s="90"/>
      <c r="U371" s="14"/>
      <c r="V371" s="14"/>
      <c r="W371" s="87"/>
      <c r="X371" s="86"/>
      <c r="Y371" s="96">
        <f ca="1">Table25[[#This Row],[End Date]]+2-TODAY()</f>
        <v>-45816</v>
      </c>
      <c r="Z371" s="14">
        <f>IF(ISBLANK(Table25[[#This Row],[Roster Received By]]),1,0)</f>
        <v>1</v>
      </c>
      <c r="AA371" s="87">
        <f ca="1">IF(Table25[[#This Row],[Start Date]]&gt;TODAY(),1,)</f>
        <v>0</v>
      </c>
    </row>
    <row r="372" spans="1:27" s="52" customFormat="1" hidden="1" x14ac:dyDescent="0.25">
      <c r="B372" s="103"/>
      <c r="C372" s="87" t="e">
        <v>#N/A</v>
      </c>
      <c r="D372" s="87" t="e">
        <v>#N/A</v>
      </c>
      <c r="E372" s="55"/>
      <c r="F372" s="85"/>
      <c r="G372" s="85"/>
      <c r="H372" s="56"/>
      <c r="I372" s="88"/>
      <c r="J372" s="88"/>
      <c r="K372" s="88"/>
      <c r="L372" s="88"/>
      <c r="M372" s="88"/>
      <c r="N372" s="88"/>
      <c r="O372" s="86"/>
      <c r="P372" s="86"/>
      <c r="Q372" s="14" t="e">
        <v>#N/A</v>
      </c>
      <c r="R372" s="14" t="e">
        <v>#N/A</v>
      </c>
      <c r="S372" s="14"/>
      <c r="T372" s="90"/>
      <c r="U372" s="14"/>
      <c r="V372" s="14"/>
      <c r="W372" s="87"/>
      <c r="X372" s="86"/>
      <c r="Y372" s="96">
        <f ca="1">Table25[[#This Row],[End Date]]+2-TODAY()</f>
        <v>-45816</v>
      </c>
      <c r="Z372" s="14">
        <f>IF(ISBLANK(Table25[[#This Row],[Roster Received By]]),1,0)</f>
        <v>1</v>
      </c>
      <c r="AA372" s="87">
        <f ca="1">IF(Table25[[#This Row],[Start Date]]&gt;TODAY(),1,)</f>
        <v>0</v>
      </c>
    </row>
    <row r="373" spans="1:27" s="52" customFormat="1" hidden="1" x14ac:dyDescent="0.25">
      <c r="B373" s="103"/>
      <c r="C373" s="87" t="e">
        <v>#N/A</v>
      </c>
      <c r="D373" s="87" t="e">
        <v>#N/A</v>
      </c>
      <c r="E373" s="103"/>
      <c r="F373" s="97"/>
      <c r="G373" s="97"/>
      <c r="H373" s="92"/>
      <c r="I373" s="92"/>
      <c r="J373" s="89"/>
      <c r="K373" s="89"/>
      <c r="L373" s="89"/>
      <c r="M373" s="89"/>
      <c r="N373" s="89"/>
      <c r="O373" s="86"/>
      <c r="P373" s="86"/>
      <c r="Q373" s="14" t="e">
        <v>#N/A</v>
      </c>
      <c r="R373" s="14" t="e">
        <v>#N/A</v>
      </c>
      <c r="S373" s="14"/>
      <c r="T373" s="90"/>
      <c r="U373" s="14"/>
      <c r="V373" s="14"/>
      <c r="W373" s="87"/>
      <c r="X373" s="86"/>
      <c r="Y373" s="96">
        <f ca="1">Table25[[#This Row],[End Date]]+2-TODAY()</f>
        <v>-45816</v>
      </c>
      <c r="Z373" s="14">
        <f>IF(ISBLANK(Table25[[#This Row],[Roster Received By]]),1,0)</f>
        <v>1</v>
      </c>
      <c r="AA373" s="87">
        <f ca="1">IF(Table25[[#This Row],[Start Date]]&gt;TODAY(),1,)</f>
        <v>0</v>
      </c>
    </row>
    <row r="374" spans="1:27" s="52" customFormat="1" hidden="1" x14ac:dyDescent="0.25">
      <c r="A374" s="86"/>
      <c r="B374" s="103"/>
      <c r="C374" s="87" t="e">
        <v>#N/A</v>
      </c>
      <c r="D374" s="87" t="e">
        <v>#N/A</v>
      </c>
      <c r="E374" s="103"/>
      <c r="F374" s="97"/>
      <c r="G374" s="97"/>
      <c r="H374" s="92"/>
      <c r="I374" s="92"/>
      <c r="J374" s="89"/>
      <c r="K374" s="89"/>
      <c r="L374" s="89"/>
      <c r="M374" s="89"/>
      <c r="N374" s="89"/>
      <c r="O374" s="86"/>
      <c r="P374" s="86"/>
      <c r="Q374" s="14" t="e">
        <v>#N/A</v>
      </c>
      <c r="R374" s="14" t="e">
        <v>#N/A</v>
      </c>
      <c r="S374" s="14"/>
      <c r="T374" s="90"/>
      <c r="U374" s="14"/>
      <c r="V374" s="14"/>
      <c r="W374" s="87"/>
      <c r="X374" s="86"/>
      <c r="Y374" s="96">
        <f ca="1">Table25[[#This Row],[End Date]]+2-TODAY()</f>
        <v>-45816</v>
      </c>
      <c r="Z374" s="14">
        <f>IF(ISBLANK(Table25[[#This Row],[Roster Received By]]),1,0)</f>
        <v>1</v>
      </c>
      <c r="AA374" s="87">
        <f ca="1">IF(Table25[[#This Row],[Start Date]]&gt;TODAY(),1,)</f>
        <v>0</v>
      </c>
    </row>
    <row r="375" spans="1:27" s="52" customFormat="1" hidden="1" x14ac:dyDescent="0.25">
      <c r="B375" s="103"/>
      <c r="C375" s="87" t="e">
        <v>#N/A</v>
      </c>
      <c r="D375" s="87" t="e">
        <v>#N/A</v>
      </c>
      <c r="E375" s="55"/>
      <c r="F375" s="97"/>
      <c r="G375" s="97"/>
      <c r="H375" s="92"/>
      <c r="I375" s="92"/>
      <c r="J375" s="89"/>
      <c r="K375" s="89"/>
      <c r="L375" s="89"/>
      <c r="M375" s="89"/>
      <c r="N375" s="89"/>
      <c r="O375" s="86"/>
      <c r="P375" s="86"/>
      <c r="Q375" s="14" t="e">
        <v>#N/A</v>
      </c>
      <c r="R375" s="14" t="e">
        <v>#N/A</v>
      </c>
      <c r="S375" s="14"/>
      <c r="T375" s="90"/>
      <c r="U375" s="14"/>
      <c r="V375" s="14"/>
      <c r="W375" s="87"/>
      <c r="X375" s="86"/>
      <c r="Y375" s="96">
        <f ca="1">Table25[[#This Row],[End Date]]+2-TODAY()</f>
        <v>-45816</v>
      </c>
      <c r="Z375" s="14">
        <f>IF(ISBLANK(Table25[[#This Row],[Roster Received By]]),1,0)</f>
        <v>1</v>
      </c>
      <c r="AA375" s="87">
        <f ca="1">IF(Table25[[#This Row],[Start Date]]&gt;TODAY(),1,)</f>
        <v>0</v>
      </c>
    </row>
    <row r="376" spans="1:27" s="52" customFormat="1" hidden="1" x14ac:dyDescent="0.25">
      <c r="B376" s="103"/>
      <c r="C376" s="87" t="e">
        <v>#N/A</v>
      </c>
      <c r="D376" s="87" t="e">
        <v>#N/A</v>
      </c>
      <c r="E376" s="103"/>
      <c r="F376" s="97"/>
      <c r="G376" s="97"/>
      <c r="H376" s="92"/>
      <c r="I376" s="92"/>
      <c r="J376" s="89"/>
      <c r="K376" s="89"/>
      <c r="L376" s="89"/>
      <c r="M376" s="89"/>
      <c r="N376" s="89"/>
      <c r="O376" s="86"/>
      <c r="P376" s="86"/>
      <c r="Q376" s="14" t="e">
        <v>#N/A</v>
      </c>
      <c r="R376" s="14" t="e">
        <v>#N/A</v>
      </c>
      <c r="S376" s="14"/>
      <c r="T376" s="90"/>
      <c r="U376" s="14"/>
      <c r="V376" s="14"/>
      <c r="W376" s="87"/>
      <c r="X376" s="86"/>
      <c r="Y376" s="96">
        <f ca="1">Table25[[#This Row],[End Date]]+2-TODAY()</f>
        <v>-45816</v>
      </c>
      <c r="Z376" s="14">
        <f>IF(ISBLANK(Table25[[#This Row],[Roster Received By]]),1,0)</f>
        <v>1</v>
      </c>
      <c r="AA376" s="87">
        <f ca="1">IF(Table25[[#This Row],[Start Date]]&gt;TODAY(),1,)</f>
        <v>0</v>
      </c>
    </row>
    <row r="377" spans="1:27" s="52" customFormat="1" hidden="1" x14ac:dyDescent="0.25">
      <c r="B377" s="103"/>
      <c r="C377" s="87" t="e">
        <v>#N/A</v>
      </c>
      <c r="D377" s="87" t="e">
        <v>#N/A</v>
      </c>
      <c r="E377" s="103"/>
      <c r="F377" s="97"/>
      <c r="G377" s="97"/>
      <c r="H377" s="89"/>
      <c r="I377" s="88"/>
      <c r="J377" s="88"/>
      <c r="K377" s="88"/>
      <c r="L377" s="88"/>
      <c r="M377" s="88"/>
      <c r="N377" s="88"/>
      <c r="O377" s="86"/>
      <c r="P377" s="86"/>
      <c r="Q377" s="14" t="e">
        <v>#N/A</v>
      </c>
      <c r="R377" s="14" t="e">
        <v>#N/A</v>
      </c>
      <c r="S377" s="14"/>
      <c r="T377" s="90"/>
      <c r="U377" s="14"/>
      <c r="V377" s="14"/>
      <c r="W377" s="87"/>
      <c r="X377" s="86"/>
      <c r="Y377" s="96">
        <f ca="1">Table25[[#This Row],[End Date]]+2-TODAY()</f>
        <v>-45816</v>
      </c>
      <c r="Z377" s="14">
        <f>IF(ISBLANK(Table25[[#This Row],[Roster Received By]]),1,0)</f>
        <v>1</v>
      </c>
      <c r="AA377" s="87">
        <f ca="1">IF(Table25[[#This Row],[Start Date]]&gt;TODAY(),1,)</f>
        <v>0</v>
      </c>
    </row>
    <row r="378" spans="1:27" s="52" customFormat="1" hidden="1" x14ac:dyDescent="0.25">
      <c r="B378" s="103"/>
      <c r="C378" s="87" t="e">
        <v>#N/A</v>
      </c>
      <c r="D378" s="87" t="e">
        <v>#N/A</v>
      </c>
      <c r="E378" s="103"/>
      <c r="F378" s="97"/>
      <c r="G378" s="97"/>
      <c r="H378" s="89"/>
      <c r="I378" s="88"/>
      <c r="J378" s="88"/>
      <c r="K378" s="88"/>
      <c r="L378" s="88"/>
      <c r="M378" s="88"/>
      <c r="N378" s="88"/>
      <c r="O378" s="86"/>
      <c r="P378" s="86"/>
      <c r="Q378" s="14" t="e">
        <v>#N/A</v>
      </c>
      <c r="R378" s="14" t="e">
        <v>#N/A</v>
      </c>
      <c r="S378" s="14"/>
      <c r="T378" s="90"/>
      <c r="U378" s="14"/>
      <c r="V378" s="14"/>
      <c r="W378" s="87"/>
      <c r="X378" s="86"/>
      <c r="Y378" s="96">
        <f ca="1">Table25[[#This Row],[End Date]]+2-TODAY()</f>
        <v>-45816</v>
      </c>
      <c r="Z378" s="14">
        <f>IF(ISBLANK(Table25[[#This Row],[Roster Received By]]),1,0)</f>
        <v>1</v>
      </c>
      <c r="AA378" s="87">
        <f ca="1">IF(Table25[[#This Row],[Start Date]]&gt;TODAY(),1,)</f>
        <v>0</v>
      </c>
    </row>
    <row r="379" spans="1:27" s="52" customFormat="1" hidden="1" x14ac:dyDescent="0.25">
      <c r="B379" s="113"/>
      <c r="C379" s="87" t="e">
        <v>#N/A</v>
      </c>
      <c r="D379" s="87" t="e">
        <v>#N/A</v>
      </c>
      <c r="E379" s="103"/>
      <c r="F379" s="97"/>
      <c r="G379" s="97"/>
      <c r="H379" s="89"/>
      <c r="I379" s="88"/>
      <c r="J379" s="88"/>
      <c r="K379" s="88"/>
      <c r="L379" s="88"/>
      <c r="M379" s="88"/>
      <c r="N379" s="88"/>
      <c r="O379" s="86"/>
      <c r="P379" s="86"/>
      <c r="Q379" s="14" t="e">
        <v>#N/A</v>
      </c>
      <c r="R379" s="14" t="e">
        <v>#N/A</v>
      </c>
      <c r="S379" s="14"/>
      <c r="T379" s="90"/>
      <c r="U379" s="14"/>
      <c r="V379" s="14"/>
      <c r="W379" s="87"/>
      <c r="X379" s="86"/>
      <c r="Y379" s="96">
        <f ca="1">Table25[[#This Row],[End Date]]+2-TODAY()</f>
        <v>-45816</v>
      </c>
      <c r="Z379" s="14">
        <f>IF(ISBLANK(Table25[[#This Row],[Roster Received By]]),1,0)</f>
        <v>1</v>
      </c>
      <c r="AA379" s="87">
        <f ca="1">IF(Table25[[#This Row],[Start Date]]&gt;TODAY(),1,)</f>
        <v>0</v>
      </c>
    </row>
    <row r="380" spans="1:27" s="52" customFormat="1" hidden="1" x14ac:dyDescent="0.25">
      <c r="B380" s="103"/>
      <c r="C380" s="87" t="e">
        <v>#N/A</v>
      </c>
      <c r="D380" s="87" t="e">
        <v>#N/A</v>
      </c>
      <c r="E380" s="86"/>
      <c r="F380" s="89"/>
      <c r="G380" s="89"/>
      <c r="H380" s="92"/>
      <c r="I380" s="92"/>
      <c r="J380" s="89"/>
      <c r="K380" s="89"/>
      <c r="L380" s="89"/>
      <c r="M380" s="89"/>
      <c r="N380" s="89"/>
      <c r="O380" s="86"/>
      <c r="P380" s="86"/>
      <c r="Q380" s="14" t="e">
        <v>#N/A</v>
      </c>
      <c r="R380" s="14" t="e">
        <v>#N/A</v>
      </c>
      <c r="S380" s="90"/>
      <c r="T380" s="90"/>
      <c r="U380" s="14"/>
      <c r="V380" s="14"/>
      <c r="W380" s="87"/>
      <c r="X380" s="86"/>
      <c r="Y380" s="96">
        <f ca="1">Table25[[#This Row],[End Date]]+2-TODAY()</f>
        <v>-45816</v>
      </c>
      <c r="Z380" s="14">
        <f>IF(ISBLANK(Table25[[#This Row],[Roster Received By]]),1,0)</f>
        <v>1</v>
      </c>
      <c r="AA380" s="87">
        <f ca="1">IF(Table25[[#This Row],[Start Date]]&gt;TODAY(),1,)</f>
        <v>0</v>
      </c>
    </row>
    <row r="381" spans="1:27" s="52" customFormat="1" hidden="1" x14ac:dyDescent="0.25">
      <c r="B381" s="55"/>
      <c r="C381" s="87" t="e">
        <v>#N/A</v>
      </c>
      <c r="D381" s="87" t="e">
        <v>#N/A</v>
      </c>
      <c r="E381" s="57"/>
      <c r="F381" s="56"/>
      <c r="G381" s="56"/>
      <c r="H381" s="88"/>
      <c r="I381" s="88"/>
      <c r="J381" s="89"/>
      <c r="K381" s="89"/>
      <c r="L381" s="89"/>
      <c r="M381" s="89"/>
      <c r="N381" s="89"/>
      <c r="O381" s="86"/>
      <c r="P381" s="86"/>
      <c r="Q381" s="14" t="e">
        <v>#N/A</v>
      </c>
      <c r="R381" s="14" t="e">
        <v>#N/A</v>
      </c>
      <c r="S381" s="14"/>
      <c r="T381" s="90"/>
      <c r="U381" s="14"/>
      <c r="V381" s="14"/>
      <c r="W381" s="87"/>
      <c r="X381" s="86"/>
      <c r="Y381" s="96">
        <f ca="1">Table25[[#This Row],[End Date]]+2-TODAY()</f>
        <v>-45816</v>
      </c>
      <c r="Z381" s="14">
        <f>IF(ISBLANK(Table25[[#This Row],[Roster Received By]]),1,0)</f>
        <v>1</v>
      </c>
      <c r="AA381" s="87">
        <f ca="1">IF(Table25[[#This Row],[Start Date]]&gt;TODAY(),1,)</f>
        <v>0</v>
      </c>
    </row>
    <row r="382" spans="1:27" s="52" customFormat="1" hidden="1" x14ac:dyDescent="0.25">
      <c r="A382" s="86"/>
      <c r="B382" s="103"/>
      <c r="C382" s="87" t="e">
        <v>#N/A</v>
      </c>
      <c r="D382" s="87" t="e">
        <v>#N/A</v>
      </c>
      <c r="E382" s="109"/>
      <c r="F382" s="89"/>
      <c r="G382" s="89"/>
      <c r="H382" s="89"/>
      <c r="I382" s="88"/>
      <c r="J382" s="88"/>
      <c r="K382" s="88"/>
      <c r="L382" s="88"/>
      <c r="M382" s="88"/>
      <c r="N382" s="88"/>
      <c r="O382" s="86"/>
      <c r="P382" s="86"/>
      <c r="Q382" s="14" t="e">
        <v>#N/A</v>
      </c>
      <c r="R382" s="14" t="e">
        <v>#N/A</v>
      </c>
      <c r="S382" s="14"/>
      <c r="T382" s="90"/>
      <c r="U382" s="14"/>
      <c r="V382" s="14"/>
      <c r="W382" s="87"/>
      <c r="X382" s="86"/>
      <c r="Y382" s="96">
        <f ca="1">Table25[[#This Row],[End Date]]+2-TODAY()</f>
        <v>-45816</v>
      </c>
      <c r="Z382" s="14">
        <f>IF(ISBLANK(Table25[[#This Row],[Roster Received By]]),1,0)</f>
        <v>1</v>
      </c>
      <c r="AA382" s="87">
        <f ca="1">IF(Table25[[#This Row],[Start Date]]&gt;TODAY(),1,)</f>
        <v>0</v>
      </c>
    </row>
    <row r="383" spans="1:27" s="52" customFormat="1" hidden="1" x14ac:dyDescent="0.25">
      <c r="B383" s="103"/>
      <c r="C383" s="87" t="e">
        <v>#N/A</v>
      </c>
      <c r="D383" s="87" t="e">
        <v>#N/A</v>
      </c>
      <c r="E383" s="57"/>
      <c r="F383" s="56"/>
      <c r="G383" s="56"/>
      <c r="H383" s="56"/>
      <c r="I383" s="88"/>
      <c r="J383" s="88"/>
      <c r="K383" s="88"/>
      <c r="L383" s="88"/>
      <c r="M383" s="88"/>
      <c r="N383" s="88"/>
      <c r="O383" s="86"/>
      <c r="P383" s="86"/>
      <c r="Q383" s="14" t="e">
        <v>#N/A</v>
      </c>
      <c r="R383" s="14" t="e">
        <v>#N/A</v>
      </c>
      <c r="S383" s="14"/>
      <c r="T383" s="90"/>
      <c r="U383" s="14"/>
      <c r="V383" s="14"/>
      <c r="W383" s="87"/>
      <c r="X383" s="86"/>
      <c r="Y383" s="96">
        <f ca="1">Table25[[#This Row],[End Date]]+2-TODAY()</f>
        <v>-45816</v>
      </c>
      <c r="Z383" s="14">
        <f>IF(ISBLANK(Table25[[#This Row],[Roster Received By]]),1,0)</f>
        <v>1</v>
      </c>
      <c r="AA383" s="87">
        <f ca="1">IF(Table25[[#This Row],[Start Date]]&gt;TODAY(),1,)</f>
        <v>0</v>
      </c>
    </row>
    <row r="384" spans="1:27" s="52" customFormat="1" hidden="1" x14ac:dyDescent="0.25">
      <c r="B384" s="103"/>
      <c r="C384" s="87" t="e">
        <v>#N/A</v>
      </c>
      <c r="D384" s="87" t="e">
        <v>#N/A</v>
      </c>
      <c r="E384" s="57"/>
      <c r="F384" s="56"/>
      <c r="G384" s="56"/>
      <c r="H384" s="56"/>
      <c r="I384" s="88"/>
      <c r="J384" s="88"/>
      <c r="K384" s="88"/>
      <c r="L384" s="88"/>
      <c r="M384" s="88"/>
      <c r="N384" s="88"/>
      <c r="O384" s="86"/>
      <c r="P384" s="86"/>
      <c r="Q384" s="14" t="e">
        <v>#N/A</v>
      </c>
      <c r="R384" s="14" t="e">
        <v>#N/A</v>
      </c>
      <c r="S384" s="14"/>
      <c r="T384" s="90"/>
      <c r="U384" s="14"/>
      <c r="V384" s="14"/>
      <c r="W384" s="87"/>
      <c r="X384" s="86"/>
      <c r="Y384" s="96">
        <f ca="1">Table25[[#This Row],[End Date]]+2-TODAY()</f>
        <v>-45816</v>
      </c>
      <c r="Z384" s="14">
        <f>IF(ISBLANK(Table25[[#This Row],[Roster Received By]]),1,0)</f>
        <v>1</v>
      </c>
      <c r="AA384" s="87">
        <f ca="1">IF(Table25[[#This Row],[Start Date]]&gt;TODAY(),1,)</f>
        <v>0</v>
      </c>
    </row>
    <row r="385" spans="1:27" s="52" customFormat="1" hidden="1" x14ac:dyDescent="0.25">
      <c r="B385" s="103"/>
      <c r="C385" s="87" t="e">
        <v>#N/A</v>
      </c>
      <c r="D385" s="87" t="e">
        <v>#N/A</v>
      </c>
      <c r="E385" s="57"/>
      <c r="F385" s="56"/>
      <c r="G385" s="56"/>
      <c r="H385" s="88"/>
      <c r="I385" s="88"/>
      <c r="J385" s="89"/>
      <c r="K385" s="89"/>
      <c r="L385" s="89"/>
      <c r="M385" s="89"/>
      <c r="N385" s="89"/>
      <c r="O385" s="86"/>
      <c r="P385" s="86"/>
      <c r="Q385" s="14" t="e">
        <v>#N/A</v>
      </c>
      <c r="R385" s="14" t="e">
        <v>#N/A</v>
      </c>
      <c r="S385" s="14"/>
      <c r="T385" s="90"/>
      <c r="U385" s="14"/>
      <c r="V385" s="14"/>
      <c r="W385" s="87"/>
      <c r="X385" s="86"/>
      <c r="Y385" s="96">
        <f ca="1">Table25[[#This Row],[End Date]]+2-TODAY()</f>
        <v>-45816</v>
      </c>
      <c r="Z385" s="14">
        <f>IF(ISBLANK(Table25[[#This Row],[Roster Received By]]),1,0)</f>
        <v>1</v>
      </c>
      <c r="AA385" s="87">
        <f ca="1">IF(Table25[[#This Row],[Start Date]]&gt;TODAY(),1,)</f>
        <v>0</v>
      </c>
    </row>
    <row r="386" spans="1:27" s="52" customFormat="1" hidden="1" x14ac:dyDescent="0.25">
      <c r="B386" s="103"/>
      <c r="C386" s="87" t="e">
        <v>#N/A</v>
      </c>
      <c r="D386" s="87" t="e">
        <v>#N/A</v>
      </c>
      <c r="E386" s="86"/>
      <c r="F386" s="56"/>
      <c r="G386" s="89"/>
      <c r="H386" s="89"/>
      <c r="I386" s="88"/>
      <c r="J386" s="88"/>
      <c r="K386" s="88"/>
      <c r="L386" s="88"/>
      <c r="M386" s="88"/>
      <c r="N386" s="88"/>
      <c r="O386" s="86"/>
      <c r="P386" s="86"/>
      <c r="Q386" s="14" t="e">
        <v>#N/A</v>
      </c>
      <c r="R386" s="14" t="e">
        <v>#N/A</v>
      </c>
      <c r="S386" s="14"/>
      <c r="T386" s="90"/>
      <c r="U386" s="14"/>
      <c r="V386" s="14"/>
      <c r="W386" s="87"/>
      <c r="X386" s="86"/>
      <c r="Y386" s="96">
        <f ca="1">Table25[[#This Row],[End Date]]+2-TODAY()</f>
        <v>-45816</v>
      </c>
      <c r="Z386" s="14">
        <f>IF(ISBLANK(Table25[[#This Row],[Roster Received By]]),1,0)</f>
        <v>1</v>
      </c>
      <c r="AA386" s="87">
        <f ca="1">IF(Table25[[#This Row],[Start Date]]&gt;TODAY(),1,)</f>
        <v>0</v>
      </c>
    </row>
    <row r="387" spans="1:27" s="52" customFormat="1" hidden="1" x14ac:dyDescent="0.25">
      <c r="B387" s="103"/>
      <c r="C387" s="87" t="e">
        <v>#N/A</v>
      </c>
      <c r="D387" s="87" t="e">
        <v>#N/A</v>
      </c>
      <c r="E387" s="103"/>
      <c r="F387" s="89"/>
      <c r="G387" s="89"/>
      <c r="H387" s="89"/>
      <c r="I387" s="88"/>
      <c r="J387" s="88"/>
      <c r="K387" s="88"/>
      <c r="L387" s="88"/>
      <c r="M387" s="88"/>
      <c r="N387" s="88"/>
      <c r="O387" s="86"/>
      <c r="P387" s="86"/>
      <c r="Q387" s="14" t="e">
        <v>#N/A</v>
      </c>
      <c r="R387" s="14" t="e">
        <v>#N/A</v>
      </c>
      <c r="S387" s="14"/>
      <c r="T387" s="90"/>
      <c r="U387" s="14"/>
      <c r="V387" s="14"/>
      <c r="W387" s="87"/>
      <c r="X387" s="86"/>
      <c r="Y387" s="96">
        <f ca="1">Table25[[#This Row],[End Date]]+2-TODAY()</f>
        <v>-45816</v>
      </c>
      <c r="Z387" s="14">
        <f>IF(ISBLANK(Table25[[#This Row],[Roster Received By]]),1,0)</f>
        <v>1</v>
      </c>
      <c r="AA387" s="87">
        <f ca="1">IF(Table25[[#This Row],[Start Date]]&gt;TODAY(),1,)</f>
        <v>0</v>
      </c>
    </row>
    <row r="388" spans="1:27" s="52" customFormat="1" hidden="1" x14ac:dyDescent="0.25">
      <c r="B388" s="55"/>
      <c r="C388" s="87" t="e">
        <v>#N/A</v>
      </c>
      <c r="D388" s="87" t="e">
        <v>#N/A</v>
      </c>
      <c r="E388" s="57"/>
      <c r="F388" s="56"/>
      <c r="G388" s="56"/>
      <c r="H388" s="88"/>
      <c r="I388" s="88"/>
      <c r="J388" s="89"/>
      <c r="K388" s="89"/>
      <c r="L388" s="89"/>
      <c r="M388" s="89"/>
      <c r="N388" s="89"/>
      <c r="O388" s="86"/>
      <c r="P388" s="86"/>
      <c r="Q388" s="14" t="e">
        <v>#N/A</v>
      </c>
      <c r="R388" s="14" t="e">
        <v>#N/A</v>
      </c>
      <c r="S388" s="14"/>
      <c r="T388" s="90"/>
      <c r="U388" s="14"/>
      <c r="V388" s="14"/>
      <c r="W388" s="87"/>
      <c r="X388" s="86"/>
      <c r="Y388" s="96">
        <f ca="1">Table25[[#This Row],[End Date]]+2-TODAY()</f>
        <v>-45816</v>
      </c>
      <c r="Z388" s="14">
        <f>IF(ISBLANK(Table25[[#This Row],[Roster Received By]]),1,0)</f>
        <v>1</v>
      </c>
      <c r="AA388" s="87">
        <f ca="1">IF(Table25[[#This Row],[Start Date]]&gt;TODAY(),1,)</f>
        <v>0</v>
      </c>
    </row>
    <row r="389" spans="1:27" s="52" customFormat="1" hidden="1" x14ac:dyDescent="0.25">
      <c r="B389" s="103"/>
      <c r="C389" s="87" t="e">
        <v>#N/A</v>
      </c>
      <c r="D389" s="87" t="e">
        <v>#N/A</v>
      </c>
      <c r="E389" s="57"/>
      <c r="F389" s="89"/>
      <c r="G389" s="89"/>
      <c r="H389" s="92"/>
      <c r="I389" s="92"/>
      <c r="J389" s="89"/>
      <c r="K389" s="89"/>
      <c r="L389" s="89"/>
      <c r="M389" s="89"/>
      <c r="N389" s="89"/>
      <c r="O389" s="86"/>
      <c r="P389" s="86"/>
      <c r="Q389" s="14" t="e">
        <v>#N/A</v>
      </c>
      <c r="R389" s="14" t="e">
        <v>#N/A</v>
      </c>
      <c r="S389" s="14"/>
      <c r="T389" s="90"/>
      <c r="U389" s="14"/>
      <c r="V389" s="14"/>
      <c r="W389" s="87"/>
      <c r="X389" s="86"/>
      <c r="Y389" s="96">
        <f ca="1">Table25[[#This Row],[End Date]]+2-TODAY()</f>
        <v>-45816</v>
      </c>
      <c r="Z389" s="14">
        <f>IF(ISBLANK(Table25[[#This Row],[Roster Received By]]),1,0)</f>
        <v>1</v>
      </c>
      <c r="AA389" s="87">
        <f ca="1">IF(Table25[[#This Row],[Start Date]]&gt;TODAY(),1,)</f>
        <v>0</v>
      </c>
    </row>
    <row r="390" spans="1:27" s="52" customFormat="1" hidden="1" x14ac:dyDescent="0.25">
      <c r="A390" s="86"/>
      <c r="B390" s="86"/>
      <c r="C390" s="87" t="e">
        <v>#N/A</v>
      </c>
      <c r="D390" s="87" t="e">
        <v>#N/A</v>
      </c>
      <c r="E390" s="109"/>
      <c r="F390" s="89"/>
      <c r="G390" s="89"/>
      <c r="H390" s="89"/>
      <c r="I390" s="88"/>
      <c r="J390" s="88"/>
      <c r="K390" s="88"/>
      <c r="L390" s="88"/>
      <c r="M390" s="88"/>
      <c r="N390" s="88"/>
      <c r="O390" s="86"/>
      <c r="P390" s="86"/>
      <c r="Q390" s="14" t="e">
        <v>#N/A</v>
      </c>
      <c r="R390" s="14" t="e">
        <v>#N/A</v>
      </c>
      <c r="S390" s="14"/>
      <c r="T390" s="90"/>
      <c r="U390" s="14"/>
      <c r="V390" s="14"/>
      <c r="W390" s="87"/>
      <c r="X390" s="86"/>
      <c r="Y390" s="96">
        <f ca="1">Table25[[#This Row],[End Date]]+2-TODAY()</f>
        <v>-45816</v>
      </c>
      <c r="Z390" s="14">
        <f>IF(ISBLANK(Table25[[#This Row],[Roster Received By]]),1,0)</f>
        <v>1</v>
      </c>
      <c r="AA390" s="87">
        <f ca="1">IF(Table25[[#This Row],[Start Date]]&gt;TODAY(),1,)</f>
        <v>0</v>
      </c>
    </row>
    <row r="391" spans="1:27" s="52" customFormat="1" hidden="1" x14ac:dyDescent="0.25">
      <c r="B391" s="86"/>
      <c r="C391" s="87" t="e">
        <v>#N/A</v>
      </c>
      <c r="D391" s="87" t="e">
        <v>#N/A</v>
      </c>
      <c r="E391" s="109"/>
      <c r="F391" s="89"/>
      <c r="G391" s="89"/>
      <c r="H391" s="89"/>
      <c r="I391" s="88"/>
      <c r="J391" s="88"/>
      <c r="K391" s="88"/>
      <c r="L391" s="88"/>
      <c r="M391" s="88"/>
      <c r="N391" s="88"/>
      <c r="O391" s="86"/>
      <c r="P391" s="86"/>
      <c r="Q391" s="14" t="e">
        <v>#N/A</v>
      </c>
      <c r="R391" s="14" t="e">
        <v>#N/A</v>
      </c>
      <c r="S391" s="14"/>
      <c r="T391" s="90"/>
      <c r="U391" s="14"/>
      <c r="V391" s="14"/>
      <c r="W391" s="87"/>
      <c r="X391" s="86"/>
      <c r="Y391" s="96">
        <f ca="1">Table25[[#This Row],[End Date]]+2-TODAY()</f>
        <v>-45816</v>
      </c>
      <c r="Z391" s="14">
        <f>IF(ISBLANK(Table25[[#This Row],[Roster Received By]]),1,0)</f>
        <v>1</v>
      </c>
      <c r="AA391" s="87">
        <f ca="1">IF(Table25[[#This Row],[Start Date]]&gt;TODAY(),1,)</f>
        <v>0</v>
      </c>
    </row>
    <row r="392" spans="1:27" s="52" customFormat="1" hidden="1" x14ac:dyDescent="0.25">
      <c r="B392" s="103"/>
      <c r="C392" s="87" t="e">
        <v>#N/A</v>
      </c>
      <c r="D392" s="87" t="e">
        <v>#N/A</v>
      </c>
      <c r="E392" s="109"/>
      <c r="F392" s="89"/>
      <c r="G392" s="89"/>
      <c r="H392" s="89"/>
      <c r="I392" s="88"/>
      <c r="J392" s="88"/>
      <c r="K392" s="88"/>
      <c r="L392" s="88"/>
      <c r="M392" s="88"/>
      <c r="N392" s="88"/>
      <c r="O392" s="86"/>
      <c r="P392" s="86"/>
      <c r="Q392" s="14" t="e">
        <v>#N/A</v>
      </c>
      <c r="R392" s="14" t="e">
        <v>#N/A</v>
      </c>
      <c r="S392" s="14"/>
      <c r="T392" s="90"/>
      <c r="U392" s="14"/>
      <c r="V392" s="14"/>
      <c r="W392" s="87"/>
      <c r="X392" s="86"/>
      <c r="Y392" s="96">
        <f ca="1">Table25[[#This Row],[End Date]]+2-TODAY()</f>
        <v>-45816</v>
      </c>
      <c r="Z392" s="14">
        <f>IF(ISBLANK(Table25[[#This Row],[Roster Received By]]),1,0)</f>
        <v>1</v>
      </c>
      <c r="AA392" s="87">
        <f ca="1">IF(Table25[[#This Row],[Start Date]]&gt;TODAY(),1,)</f>
        <v>0</v>
      </c>
    </row>
    <row r="393" spans="1:27" s="52" customFormat="1" hidden="1" x14ac:dyDescent="0.25">
      <c r="B393" s="103"/>
      <c r="C393" s="87" t="e">
        <v>#N/A</v>
      </c>
      <c r="D393" s="87" t="e">
        <v>#N/A</v>
      </c>
      <c r="E393" s="57"/>
      <c r="F393" s="89"/>
      <c r="G393" s="89"/>
      <c r="H393" s="95"/>
      <c r="I393" s="95"/>
      <c r="J393" s="89"/>
      <c r="K393" s="89"/>
      <c r="L393" s="89"/>
      <c r="M393" s="89"/>
      <c r="N393" s="89"/>
      <c r="O393" s="86"/>
      <c r="P393" s="86"/>
      <c r="Q393" s="14" t="e">
        <v>#N/A</v>
      </c>
      <c r="R393" s="14" t="e">
        <v>#N/A</v>
      </c>
      <c r="S393" s="14"/>
      <c r="T393" s="90"/>
      <c r="U393" s="14"/>
      <c r="V393" s="14"/>
      <c r="W393" s="87"/>
      <c r="X393" s="86"/>
      <c r="Y393" s="96">
        <f ca="1">Table25[[#This Row],[End Date]]+2-TODAY()</f>
        <v>-45816</v>
      </c>
      <c r="Z393" s="14">
        <f>IF(ISBLANK(Table25[[#This Row],[Roster Received By]]),1,0)</f>
        <v>1</v>
      </c>
      <c r="AA393" s="87">
        <f ca="1">IF(Table25[[#This Row],[Start Date]]&gt;TODAY(),1,)</f>
        <v>0</v>
      </c>
    </row>
    <row r="394" spans="1:27" s="52" customFormat="1" hidden="1" x14ac:dyDescent="0.25">
      <c r="B394" s="86"/>
      <c r="C394" s="87" t="e">
        <v>#N/A</v>
      </c>
      <c r="D394" s="87" t="e">
        <v>#N/A</v>
      </c>
      <c r="E394" s="86"/>
      <c r="F394" s="89"/>
      <c r="G394" s="89"/>
      <c r="H394" s="89"/>
      <c r="I394" s="88"/>
      <c r="J394" s="88"/>
      <c r="K394" s="88"/>
      <c r="L394" s="88"/>
      <c r="M394" s="88"/>
      <c r="N394" s="88"/>
      <c r="O394" s="86"/>
      <c r="P394" s="86"/>
      <c r="Q394" s="14" t="e">
        <v>#N/A</v>
      </c>
      <c r="R394" s="14" t="e">
        <v>#N/A</v>
      </c>
      <c r="S394" s="14"/>
      <c r="T394" s="90"/>
      <c r="U394" s="14"/>
      <c r="V394" s="14"/>
      <c r="W394" s="87"/>
      <c r="X394" s="86"/>
      <c r="Y394" s="96">
        <f ca="1">Table25[[#This Row],[End Date]]+2-TODAY()</f>
        <v>-45816</v>
      </c>
      <c r="Z394" s="14">
        <f>IF(ISBLANK(Table25[[#This Row],[Roster Received By]]),1,0)</f>
        <v>1</v>
      </c>
      <c r="AA394" s="87">
        <f ca="1">IF(Table25[[#This Row],[Start Date]]&gt;TODAY(),1,)</f>
        <v>0</v>
      </c>
    </row>
    <row r="395" spans="1:27" s="52" customFormat="1" hidden="1" x14ac:dyDescent="0.25">
      <c r="A395" s="86"/>
      <c r="B395" s="86"/>
      <c r="C395" s="87" t="e">
        <v>#N/A</v>
      </c>
      <c r="D395" s="87" t="e">
        <v>#N/A</v>
      </c>
      <c r="E395" s="109"/>
      <c r="F395" s="89"/>
      <c r="G395" s="89"/>
      <c r="H395" s="89"/>
      <c r="I395" s="88"/>
      <c r="J395" s="88"/>
      <c r="K395" s="88"/>
      <c r="L395" s="88"/>
      <c r="M395" s="88"/>
      <c r="N395" s="88"/>
      <c r="O395" s="86"/>
      <c r="P395" s="86"/>
      <c r="Q395" s="14" t="e">
        <v>#N/A</v>
      </c>
      <c r="R395" s="14" t="e">
        <v>#N/A</v>
      </c>
      <c r="S395" s="14"/>
      <c r="T395" s="90"/>
      <c r="U395" s="14"/>
      <c r="V395" s="14"/>
      <c r="W395" s="87"/>
      <c r="X395" s="86"/>
      <c r="Y395" s="96">
        <f ca="1">Table25[[#This Row],[End Date]]+2-TODAY()</f>
        <v>-45816</v>
      </c>
      <c r="Z395" s="14">
        <f>IF(ISBLANK(Table25[[#This Row],[Roster Received By]]),1,0)</f>
        <v>1</v>
      </c>
      <c r="AA395" s="87">
        <f ca="1">IF(Table25[[#This Row],[Start Date]]&gt;TODAY(),1,)</f>
        <v>0</v>
      </c>
    </row>
    <row r="396" spans="1:27" s="52" customFormat="1" hidden="1" x14ac:dyDescent="0.25">
      <c r="B396" s="86"/>
      <c r="C396" s="87" t="e">
        <v>#N/A</v>
      </c>
      <c r="D396" s="87" t="e">
        <v>#N/A</v>
      </c>
      <c r="E396" s="109"/>
      <c r="F396" s="89"/>
      <c r="G396" s="89"/>
      <c r="H396" s="92"/>
      <c r="I396" s="92"/>
      <c r="J396" s="89"/>
      <c r="K396" s="89"/>
      <c r="L396" s="112"/>
      <c r="M396" s="89"/>
      <c r="N396" s="89"/>
      <c r="O396" s="86"/>
      <c r="P396" s="86"/>
      <c r="Q396" s="14" t="e">
        <v>#N/A</v>
      </c>
      <c r="R396" s="14" t="e">
        <v>#N/A</v>
      </c>
      <c r="S396" s="90"/>
      <c r="T396" s="90"/>
      <c r="U396" s="14"/>
      <c r="V396" s="14"/>
      <c r="W396" s="87"/>
      <c r="X396" s="86"/>
      <c r="Y396" s="96">
        <f ca="1">Table25[[#This Row],[End Date]]+2-TODAY()</f>
        <v>-45816</v>
      </c>
      <c r="Z396" s="14">
        <f>IF(ISBLANK(Table25[[#This Row],[Roster Received By]]),1,0)</f>
        <v>1</v>
      </c>
      <c r="AA396" s="87">
        <f ca="1">IF(Table25[[#This Row],[Start Date]]&gt;TODAY(),1,)</f>
        <v>0</v>
      </c>
    </row>
    <row r="397" spans="1:27" s="52" customFormat="1" hidden="1" x14ac:dyDescent="0.25">
      <c r="B397" s="86"/>
      <c r="C397" s="87" t="e">
        <v>#N/A</v>
      </c>
      <c r="D397" s="87" t="e">
        <v>#N/A</v>
      </c>
      <c r="E397" s="109"/>
      <c r="F397" s="89"/>
      <c r="G397" s="89"/>
      <c r="H397" s="92"/>
      <c r="I397" s="92"/>
      <c r="J397" s="89"/>
      <c r="K397" s="89"/>
      <c r="L397" s="89"/>
      <c r="M397" s="89"/>
      <c r="N397" s="89"/>
      <c r="O397" s="86"/>
      <c r="P397" s="86"/>
      <c r="Q397" s="14" t="e">
        <v>#N/A</v>
      </c>
      <c r="R397" s="14" t="e">
        <v>#N/A</v>
      </c>
      <c r="S397" s="14"/>
      <c r="T397" s="90"/>
      <c r="U397" s="14"/>
      <c r="V397" s="14"/>
      <c r="W397" s="14"/>
      <c r="X397" s="86"/>
      <c r="Y397" s="59">
        <f ca="1">Table25[[#This Row],[End Date]]+2-TODAY()</f>
        <v>-45816</v>
      </c>
      <c r="Z397" s="14">
        <f>IF(ISBLANK(Table25[[#This Row],[Roster Received By]]),1,0)</f>
        <v>1</v>
      </c>
      <c r="AA397" s="14">
        <f ca="1">IF(Table25[[#This Row],[Start Date]]&gt;TODAY(),1,)</f>
        <v>0</v>
      </c>
    </row>
    <row r="398" spans="1:27" s="52" customFormat="1" hidden="1" x14ac:dyDescent="0.25">
      <c r="B398" s="86"/>
      <c r="C398" s="87" t="e">
        <v>#N/A</v>
      </c>
      <c r="D398" s="87" t="e">
        <v>#N/A</v>
      </c>
      <c r="E398" s="55"/>
      <c r="F398" s="56"/>
      <c r="G398" s="56"/>
      <c r="H398" s="88"/>
      <c r="I398" s="88"/>
      <c r="J398" s="89"/>
      <c r="K398" s="89"/>
      <c r="L398" s="89"/>
      <c r="M398" s="89"/>
      <c r="N398" s="89"/>
      <c r="O398" s="86"/>
      <c r="P398" s="86"/>
      <c r="Q398" s="14" t="e">
        <v>#N/A</v>
      </c>
      <c r="R398" s="14" t="e">
        <v>#N/A</v>
      </c>
      <c r="S398" s="14"/>
      <c r="T398" s="90"/>
      <c r="U398" s="14"/>
      <c r="V398" s="14"/>
      <c r="W398" s="14"/>
      <c r="X398" s="86"/>
      <c r="Y398" s="59">
        <f ca="1">Table25[[#This Row],[End Date]]+2-TODAY()</f>
        <v>-45816</v>
      </c>
      <c r="Z398" s="14">
        <f>IF(ISBLANK(Table25[[#This Row],[Roster Received By]]),1,0)</f>
        <v>1</v>
      </c>
      <c r="AA398" s="14">
        <f ca="1">IF(Table25[[#This Row],[Start Date]]&gt;TODAY(),1,)</f>
        <v>0</v>
      </c>
    </row>
    <row r="399" spans="1:27" s="52" customFormat="1" hidden="1" x14ac:dyDescent="0.25">
      <c r="B399" s="86"/>
      <c r="C399" s="87" t="e">
        <v>#N/A</v>
      </c>
      <c r="D399" s="87" t="e">
        <v>#N/A</v>
      </c>
      <c r="E399" s="57"/>
      <c r="F399" s="89"/>
      <c r="G399" s="89"/>
      <c r="H399" s="92"/>
      <c r="I399" s="92"/>
      <c r="J399" s="89"/>
      <c r="K399" s="89"/>
      <c r="L399" s="89"/>
      <c r="M399" s="89"/>
      <c r="N399" s="89"/>
      <c r="O399" s="86"/>
      <c r="P399" s="86"/>
      <c r="Q399" s="14" t="e">
        <v>#N/A</v>
      </c>
      <c r="R399" s="14" t="e">
        <v>#N/A</v>
      </c>
      <c r="S399" s="14"/>
      <c r="T399" s="90"/>
      <c r="U399" s="14"/>
      <c r="V399" s="14"/>
      <c r="W399" s="87"/>
      <c r="X399" s="86"/>
      <c r="Y399" s="96">
        <f ca="1">Table25[[#This Row],[End Date]]+2-TODAY()</f>
        <v>-45816</v>
      </c>
      <c r="Z399" s="14">
        <f>IF(ISBLANK(Table25[[#This Row],[Roster Received By]]),1,0)</f>
        <v>1</v>
      </c>
      <c r="AA399" s="87">
        <f ca="1">IF(Table25[[#This Row],[Start Date]]&gt;TODAY(),1,)</f>
        <v>0</v>
      </c>
    </row>
    <row r="400" spans="1:27" s="52" customFormat="1" hidden="1" x14ac:dyDescent="0.25">
      <c r="B400" s="103"/>
      <c r="C400" s="87" t="e">
        <v>#N/A</v>
      </c>
      <c r="D400" s="87" t="e">
        <v>#N/A</v>
      </c>
      <c r="E400" s="57"/>
      <c r="F400" s="89"/>
      <c r="G400" s="89"/>
      <c r="H400" s="92"/>
      <c r="I400" s="92"/>
      <c r="J400" s="89"/>
      <c r="K400" s="89"/>
      <c r="L400" s="89"/>
      <c r="M400" s="89"/>
      <c r="N400" s="89"/>
      <c r="O400" s="86"/>
      <c r="P400" s="86"/>
      <c r="Q400" s="14" t="e">
        <v>#N/A</v>
      </c>
      <c r="R400" s="14" t="e">
        <v>#N/A</v>
      </c>
      <c r="S400" s="14"/>
      <c r="T400" s="90"/>
      <c r="U400" s="14"/>
      <c r="V400" s="14"/>
      <c r="W400" s="87"/>
      <c r="X400" s="86"/>
      <c r="Y400" s="96">
        <f ca="1">Table25[[#This Row],[End Date]]+2-TODAY()</f>
        <v>-45816</v>
      </c>
      <c r="Z400" s="14">
        <f>IF(ISBLANK(Table25[[#This Row],[Roster Received By]]),1,0)</f>
        <v>1</v>
      </c>
      <c r="AA400" s="87">
        <f ca="1">IF(Table25[[#This Row],[Start Date]]&gt;TODAY(),1,)</f>
        <v>0</v>
      </c>
    </row>
    <row r="401" spans="1:27" s="52" customFormat="1" hidden="1" x14ac:dyDescent="0.25">
      <c r="B401" s="86"/>
      <c r="C401" s="87" t="e">
        <v>#N/A</v>
      </c>
      <c r="D401" s="87" t="e">
        <v>#N/A</v>
      </c>
      <c r="E401" s="109"/>
      <c r="F401" s="89"/>
      <c r="G401" s="89"/>
      <c r="H401" s="92"/>
      <c r="I401" s="92"/>
      <c r="J401" s="89"/>
      <c r="K401" s="89"/>
      <c r="L401" s="89"/>
      <c r="M401" s="89"/>
      <c r="N401" s="89"/>
      <c r="O401" s="86"/>
      <c r="P401" s="86"/>
      <c r="Q401" s="14" t="e">
        <v>#N/A</v>
      </c>
      <c r="R401" s="14" t="e">
        <v>#N/A</v>
      </c>
      <c r="S401" s="90"/>
      <c r="T401" s="90"/>
      <c r="U401" s="14"/>
      <c r="V401" s="14"/>
      <c r="W401" s="87"/>
      <c r="X401" s="86"/>
      <c r="Y401" s="96">
        <f ca="1">Table25[[#This Row],[End Date]]+2-TODAY()</f>
        <v>-45816</v>
      </c>
      <c r="Z401" s="14">
        <f>IF(ISBLANK(Table25[[#This Row],[Roster Received By]]),1,0)</f>
        <v>1</v>
      </c>
      <c r="AA401" s="87">
        <f ca="1">IF(Table25[[#This Row],[Start Date]]&gt;TODAY(),1,)</f>
        <v>0</v>
      </c>
    </row>
    <row r="402" spans="1:27" s="52" customFormat="1" hidden="1" x14ac:dyDescent="0.25">
      <c r="B402" s="86"/>
      <c r="C402" s="87" t="e">
        <v>#N/A</v>
      </c>
      <c r="D402" s="87" t="e">
        <v>#N/A</v>
      </c>
      <c r="E402" s="109"/>
      <c r="F402" s="89"/>
      <c r="G402" s="89"/>
      <c r="H402" s="92"/>
      <c r="I402" s="92"/>
      <c r="J402" s="92"/>
      <c r="K402" s="92"/>
      <c r="L402" s="92"/>
      <c r="M402" s="92"/>
      <c r="N402" s="92"/>
      <c r="O402" s="86"/>
      <c r="P402" s="86"/>
      <c r="Q402" s="14" t="e">
        <v>#N/A</v>
      </c>
      <c r="R402" s="14" t="e">
        <v>#N/A</v>
      </c>
      <c r="S402" s="14"/>
      <c r="T402" s="90"/>
      <c r="U402" s="14"/>
      <c r="V402" s="14"/>
      <c r="W402" s="14"/>
      <c r="X402" s="86"/>
      <c r="Y402" s="96">
        <f ca="1">Table25[[#This Row],[End Date]]+2-TODAY()</f>
        <v>-45816</v>
      </c>
      <c r="Z402" s="14">
        <f>IF(ISBLANK(Table25[[#This Row],[Roster Received By]]),1,0)</f>
        <v>1</v>
      </c>
      <c r="AA402" s="87">
        <f ca="1">IF(Table25[[#This Row],[Start Date]]&gt;TODAY(),1,)</f>
        <v>0</v>
      </c>
    </row>
    <row r="403" spans="1:27" s="52" customFormat="1" hidden="1" x14ac:dyDescent="0.25">
      <c r="B403" s="86"/>
      <c r="C403" s="87" t="e">
        <v>#N/A</v>
      </c>
      <c r="D403" s="87" t="e">
        <v>#N/A</v>
      </c>
      <c r="E403" s="86"/>
      <c r="F403" s="89"/>
      <c r="G403" s="89"/>
      <c r="H403" s="89"/>
      <c r="I403" s="88"/>
      <c r="J403" s="88"/>
      <c r="K403" s="88"/>
      <c r="L403" s="88"/>
      <c r="M403" s="88"/>
      <c r="N403" s="88"/>
      <c r="O403" s="86"/>
      <c r="P403" s="86"/>
      <c r="Q403" s="14" t="e">
        <v>#N/A</v>
      </c>
      <c r="R403" s="14" t="e">
        <v>#N/A</v>
      </c>
      <c r="S403" s="14"/>
      <c r="T403" s="90"/>
      <c r="U403" s="14"/>
      <c r="V403" s="14"/>
      <c r="W403" s="87"/>
      <c r="X403" s="86"/>
      <c r="Y403" s="96">
        <f ca="1">Table25[[#This Row],[End Date]]+2-TODAY()</f>
        <v>-45816</v>
      </c>
      <c r="Z403" s="14">
        <f>IF(ISBLANK(Table25[[#This Row],[Roster Received By]]),1,0)</f>
        <v>1</v>
      </c>
      <c r="AA403" s="87">
        <f ca="1">IF(Table25[[#This Row],[Start Date]]&gt;TODAY(),1,)</f>
        <v>0</v>
      </c>
    </row>
    <row r="404" spans="1:27" s="52" customFormat="1" hidden="1" x14ac:dyDescent="0.25">
      <c r="B404" s="86"/>
      <c r="C404" s="87" t="e">
        <v>#N/A</v>
      </c>
      <c r="D404" s="87" t="e">
        <v>#N/A</v>
      </c>
      <c r="E404" s="86"/>
      <c r="F404" s="89"/>
      <c r="G404" s="89"/>
      <c r="H404" s="92"/>
      <c r="I404" s="92"/>
      <c r="J404" s="92"/>
      <c r="K404" s="92"/>
      <c r="L404" s="92"/>
      <c r="M404" s="92"/>
      <c r="N404" s="89"/>
      <c r="O404" s="86"/>
      <c r="P404" s="86"/>
      <c r="Q404" s="14" t="e">
        <v>#N/A</v>
      </c>
      <c r="R404" s="14" t="e">
        <v>#N/A</v>
      </c>
      <c r="S404" s="14"/>
      <c r="T404" s="90"/>
      <c r="U404" s="14"/>
      <c r="V404" s="14"/>
      <c r="W404" s="87"/>
      <c r="X404" s="86"/>
      <c r="Y404" s="96">
        <f ca="1">Table25[[#This Row],[End Date]]+2-TODAY()</f>
        <v>-45816</v>
      </c>
      <c r="Z404" s="14">
        <f>IF(ISBLANK(Table25[[#This Row],[Roster Received By]]),1,0)</f>
        <v>1</v>
      </c>
      <c r="AA404" s="87">
        <f ca="1">IF(Table25[[#This Row],[Start Date]]&gt;TODAY(),1,)</f>
        <v>0</v>
      </c>
    </row>
    <row r="405" spans="1:27" s="52" customFormat="1" hidden="1" x14ac:dyDescent="0.25">
      <c r="B405" s="103"/>
      <c r="C405" s="87" t="e">
        <v>#N/A</v>
      </c>
      <c r="D405" s="87" t="e">
        <v>#N/A</v>
      </c>
      <c r="E405" s="86"/>
      <c r="F405" s="89"/>
      <c r="G405" s="89"/>
      <c r="H405" s="92"/>
      <c r="I405" s="92"/>
      <c r="J405" s="89"/>
      <c r="K405" s="89"/>
      <c r="L405" s="89"/>
      <c r="M405" s="89"/>
      <c r="N405" s="89"/>
      <c r="O405" s="86"/>
      <c r="P405" s="86"/>
      <c r="Q405" s="14" t="e">
        <v>#N/A</v>
      </c>
      <c r="R405" s="14" t="e">
        <v>#N/A</v>
      </c>
      <c r="S405" s="14"/>
      <c r="T405" s="90"/>
      <c r="U405" s="14"/>
      <c r="V405" s="14"/>
      <c r="W405" s="87"/>
      <c r="X405" s="86"/>
      <c r="Y405" s="96">
        <f ca="1">Table25[[#This Row],[End Date]]+2-TODAY()</f>
        <v>-45816</v>
      </c>
      <c r="Z405" s="14">
        <f>IF(ISBLANK(Table25[[#This Row],[Roster Received By]]),1,0)</f>
        <v>1</v>
      </c>
      <c r="AA405" s="87">
        <f ca="1">IF(Table25[[#This Row],[Start Date]]&gt;TODAY(),1,)</f>
        <v>0</v>
      </c>
    </row>
    <row r="406" spans="1:27" s="52" customFormat="1" hidden="1" x14ac:dyDescent="0.25">
      <c r="A406" s="129"/>
      <c r="B406" s="86"/>
      <c r="C406" s="87" t="e">
        <v>#N/A</v>
      </c>
      <c r="D406" s="87" t="e">
        <v>#N/A</v>
      </c>
      <c r="E406" s="86"/>
      <c r="F406" s="89"/>
      <c r="G406" s="89"/>
      <c r="H406" s="92"/>
      <c r="I406" s="92"/>
      <c r="J406" s="89"/>
      <c r="K406" s="89"/>
      <c r="L406" s="89"/>
      <c r="M406" s="89"/>
      <c r="N406" s="89"/>
      <c r="O406" s="86"/>
      <c r="P406" s="86"/>
      <c r="Q406" s="14" t="e">
        <v>#N/A</v>
      </c>
      <c r="R406" s="14" t="e">
        <v>#N/A</v>
      </c>
      <c r="S406" s="90"/>
      <c r="T406" s="90"/>
      <c r="U406" s="14"/>
      <c r="V406" s="14"/>
      <c r="W406" s="87"/>
      <c r="X406" s="86"/>
      <c r="Y406" s="96">
        <f ca="1">Table25[[#This Row],[End Date]]+2-TODAY()</f>
        <v>-45816</v>
      </c>
      <c r="Z406" s="14">
        <f>IF(ISBLANK(Table25[[#This Row],[Roster Received By]]),1,0)</f>
        <v>1</v>
      </c>
      <c r="AA406" s="87">
        <f ca="1">IF(Table25[[#This Row],[Start Date]]&gt;TODAY(),1,)</f>
        <v>0</v>
      </c>
    </row>
    <row r="407" spans="1:27" s="52" customFormat="1" hidden="1" x14ac:dyDescent="0.25">
      <c r="B407" s="86"/>
      <c r="C407" s="87" t="e">
        <v>#N/A</v>
      </c>
      <c r="D407" s="87" t="e">
        <v>#N/A</v>
      </c>
      <c r="E407" s="101"/>
      <c r="F407" s="102"/>
      <c r="G407" s="102"/>
      <c r="H407" s="102"/>
      <c r="I407" s="88"/>
      <c r="J407" s="88"/>
      <c r="K407" s="88"/>
      <c r="L407" s="88"/>
      <c r="M407" s="88"/>
      <c r="N407" s="88"/>
      <c r="O407" s="86"/>
      <c r="P407" s="86"/>
      <c r="Q407" s="14" t="e">
        <v>#N/A</v>
      </c>
      <c r="R407" s="14" t="e">
        <v>#N/A</v>
      </c>
      <c r="S407" s="14"/>
      <c r="T407" s="90"/>
      <c r="U407" s="14"/>
      <c r="V407" s="14"/>
      <c r="W407" s="87"/>
      <c r="X407" s="86"/>
      <c r="Y407" s="96">
        <f ca="1">Table25[[#This Row],[End Date]]+2-TODAY()</f>
        <v>-45816</v>
      </c>
      <c r="Z407" s="14">
        <f>IF(ISBLANK(Table25[[#This Row],[Roster Received By]]),1,0)</f>
        <v>1</v>
      </c>
      <c r="AA407" s="87">
        <f ca="1">IF(Table25[[#This Row],[Start Date]]&gt;TODAY(),1,)</f>
        <v>0</v>
      </c>
    </row>
    <row r="408" spans="1:27" s="52" customFormat="1" hidden="1" x14ac:dyDescent="0.25">
      <c r="B408" s="86"/>
      <c r="C408" s="87" t="e">
        <v>#N/A</v>
      </c>
      <c r="D408" s="87" t="e">
        <v>#N/A</v>
      </c>
      <c r="E408" s="54"/>
      <c r="F408" s="89"/>
      <c r="G408" s="89"/>
      <c r="H408" s="92"/>
      <c r="I408" s="92"/>
      <c r="J408" s="89"/>
      <c r="K408" s="89"/>
      <c r="L408" s="89"/>
      <c r="M408" s="89"/>
      <c r="N408" s="89"/>
      <c r="O408" s="86"/>
      <c r="P408" s="86"/>
      <c r="Q408" s="14" t="e">
        <v>#N/A</v>
      </c>
      <c r="R408" s="14" t="e">
        <v>#N/A</v>
      </c>
      <c r="S408" s="14"/>
      <c r="T408" s="90"/>
      <c r="U408" s="14"/>
      <c r="V408" s="14"/>
      <c r="W408" s="87"/>
      <c r="X408" s="86"/>
      <c r="Y408" s="96">
        <f ca="1">Table25[[#This Row],[End Date]]+2-TODAY()</f>
        <v>-45816</v>
      </c>
      <c r="Z408" s="14">
        <f>IF(ISBLANK(Table25[[#This Row],[Roster Received By]]),1,0)</f>
        <v>1</v>
      </c>
      <c r="AA408" s="87">
        <f ca="1">IF(Table25[[#This Row],[Start Date]]&gt;TODAY(),1,)</f>
        <v>0</v>
      </c>
    </row>
    <row r="409" spans="1:27" s="52" customFormat="1" hidden="1" x14ac:dyDescent="0.25">
      <c r="B409" s="86"/>
      <c r="C409" s="87" t="e">
        <v>#N/A</v>
      </c>
      <c r="D409" s="87" t="e">
        <v>#N/A</v>
      </c>
      <c r="E409" s="103"/>
      <c r="F409" s="97"/>
      <c r="G409" s="97"/>
      <c r="H409" s="92"/>
      <c r="I409" s="92"/>
      <c r="J409" s="89"/>
      <c r="K409" s="89"/>
      <c r="L409" s="89"/>
      <c r="M409" s="89"/>
      <c r="N409" s="89"/>
      <c r="O409" s="86"/>
      <c r="P409" s="86"/>
      <c r="Q409" s="14" t="e">
        <v>#N/A</v>
      </c>
      <c r="R409" s="14" t="e">
        <v>#N/A</v>
      </c>
      <c r="S409" s="14"/>
      <c r="T409" s="90"/>
      <c r="U409" s="14"/>
      <c r="V409" s="14"/>
      <c r="W409" s="87"/>
      <c r="X409" s="86"/>
      <c r="Y409" s="96">
        <f ca="1">Table25[[#This Row],[End Date]]+2-TODAY()</f>
        <v>-45816</v>
      </c>
      <c r="Z409" s="14">
        <f>IF(ISBLANK(Table25[[#This Row],[Roster Received By]]),1,0)</f>
        <v>1</v>
      </c>
      <c r="AA409" s="87">
        <f ca="1">IF(Table25[[#This Row],[Start Date]]&gt;TODAY(),1,)</f>
        <v>0</v>
      </c>
    </row>
    <row r="410" spans="1:27" s="52" customFormat="1" hidden="1" x14ac:dyDescent="0.25">
      <c r="B410" s="86"/>
      <c r="C410" s="87" t="e">
        <v>#N/A</v>
      </c>
      <c r="D410" s="87" t="e">
        <v>#N/A</v>
      </c>
      <c r="E410" s="103"/>
      <c r="F410" s="97"/>
      <c r="G410" s="97"/>
      <c r="H410" s="92"/>
      <c r="I410" s="92"/>
      <c r="J410" s="92"/>
      <c r="K410" s="92"/>
      <c r="L410" s="92"/>
      <c r="M410" s="92"/>
      <c r="N410" s="89"/>
      <c r="O410" s="86"/>
      <c r="P410" s="86"/>
      <c r="Q410" s="14" t="e">
        <v>#N/A</v>
      </c>
      <c r="R410" s="14" t="e">
        <v>#N/A</v>
      </c>
      <c r="S410" s="14"/>
      <c r="T410" s="90"/>
      <c r="U410" s="14"/>
      <c r="V410" s="14"/>
      <c r="W410" s="87"/>
      <c r="X410" s="86"/>
      <c r="Y410" s="96">
        <f ca="1">Table25[[#This Row],[End Date]]+2-TODAY()</f>
        <v>-45816</v>
      </c>
      <c r="Z410" s="14">
        <f>IF(ISBLANK(Table25[[#This Row],[Roster Received By]]),1,0)</f>
        <v>1</v>
      </c>
      <c r="AA410" s="87">
        <f ca="1">IF(Table25[[#This Row],[Start Date]]&gt;TODAY(),1,)</f>
        <v>0</v>
      </c>
    </row>
    <row r="411" spans="1:27" s="52" customFormat="1" hidden="1" x14ac:dyDescent="0.25">
      <c r="B411" s="86"/>
      <c r="C411" s="87" t="e">
        <v>#N/A</v>
      </c>
      <c r="D411" s="87" t="e">
        <v>#N/A</v>
      </c>
      <c r="E411" s="55"/>
      <c r="F411" s="85"/>
      <c r="G411" s="97"/>
      <c r="H411" s="92"/>
      <c r="I411" s="92"/>
      <c r="J411" s="89"/>
      <c r="K411" s="89"/>
      <c r="L411" s="89"/>
      <c r="M411" s="89"/>
      <c r="N411" s="89"/>
      <c r="O411" s="86"/>
      <c r="P411" s="86"/>
      <c r="Q411" s="14" t="e">
        <v>#N/A</v>
      </c>
      <c r="R411" s="14" t="e">
        <v>#N/A</v>
      </c>
      <c r="S411" s="14"/>
      <c r="T411" s="90"/>
      <c r="U411" s="14"/>
      <c r="V411" s="14"/>
      <c r="W411" s="87"/>
      <c r="X411" s="86"/>
      <c r="Y411" s="96">
        <f ca="1">Table25[[#This Row],[End Date]]+2-TODAY()</f>
        <v>-45816</v>
      </c>
      <c r="Z411" s="14">
        <f>IF(ISBLANK(Table25[[#This Row],[Roster Received By]]),1,0)</f>
        <v>1</v>
      </c>
      <c r="AA411" s="87">
        <f ca="1">IF(Table25[[#This Row],[Start Date]]&gt;TODAY(),1,)</f>
        <v>0</v>
      </c>
    </row>
    <row r="412" spans="1:27" s="52" customFormat="1" hidden="1" x14ac:dyDescent="0.25">
      <c r="B412" s="86"/>
      <c r="C412" s="87" t="e">
        <v>#N/A</v>
      </c>
      <c r="D412" s="87" t="e">
        <v>#N/A</v>
      </c>
      <c r="E412" s="109"/>
      <c r="F412" s="97"/>
      <c r="G412" s="97"/>
      <c r="H412" s="89"/>
      <c r="I412" s="88"/>
      <c r="J412" s="88"/>
      <c r="K412" s="88"/>
      <c r="L412" s="88"/>
      <c r="M412" s="88"/>
      <c r="N412" s="88"/>
      <c r="O412" s="86"/>
      <c r="P412" s="86"/>
      <c r="Q412" s="14" t="e">
        <v>#N/A</v>
      </c>
      <c r="R412" s="14" t="e">
        <v>#N/A</v>
      </c>
      <c r="S412" s="14"/>
      <c r="T412" s="90"/>
      <c r="U412" s="14"/>
      <c r="V412" s="14"/>
      <c r="W412" s="87"/>
      <c r="X412" s="86"/>
      <c r="Y412" s="96">
        <f ca="1">Table25[[#This Row],[End Date]]+2-TODAY()</f>
        <v>-45816</v>
      </c>
      <c r="Z412" s="14">
        <f>IF(ISBLANK(Table25[[#This Row],[Roster Received By]]),1,0)</f>
        <v>1</v>
      </c>
      <c r="AA412" s="87">
        <f ca="1">IF(Table25[[#This Row],[Start Date]]&gt;TODAY(),1,)</f>
        <v>0</v>
      </c>
    </row>
    <row r="413" spans="1:27" s="52" customFormat="1" hidden="1" x14ac:dyDescent="0.25">
      <c r="B413" s="86"/>
      <c r="C413" s="87" t="e">
        <v>#N/A</v>
      </c>
      <c r="D413" s="87" t="e">
        <v>#N/A</v>
      </c>
      <c r="E413" s="109"/>
      <c r="F413" s="97"/>
      <c r="G413" s="97"/>
      <c r="H413" s="89"/>
      <c r="I413" s="88"/>
      <c r="J413" s="88"/>
      <c r="K413" s="88"/>
      <c r="L413" s="88"/>
      <c r="M413" s="88"/>
      <c r="N413" s="88"/>
      <c r="O413" s="86"/>
      <c r="P413" s="86"/>
      <c r="Q413" s="14" t="e">
        <v>#N/A</v>
      </c>
      <c r="R413" s="14" t="e">
        <v>#N/A</v>
      </c>
      <c r="S413" s="14"/>
      <c r="T413" s="90"/>
      <c r="U413" s="14"/>
      <c r="V413" s="14"/>
      <c r="W413" s="87"/>
      <c r="X413" s="86"/>
      <c r="Y413" s="96">
        <f ca="1">Table25[[#This Row],[End Date]]+2-TODAY()</f>
        <v>-45816</v>
      </c>
      <c r="Z413" s="14">
        <f>IF(ISBLANK(Table25[[#This Row],[Roster Received By]]),1,0)</f>
        <v>1</v>
      </c>
      <c r="AA413" s="87">
        <f ca="1">IF(Table25[[#This Row],[Start Date]]&gt;TODAY(),1,)</f>
        <v>0</v>
      </c>
    </row>
    <row r="414" spans="1:27" s="52" customFormat="1" hidden="1" x14ac:dyDescent="0.25">
      <c r="B414" s="86"/>
      <c r="C414" s="87" t="e">
        <v>#N/A</v>
      </c>
      <c r="D414" s="87" t="e">
        <v>#N/A</v>
      </c>
      <c r="E414" s="109"/>
      <c r="F414" s="97"/>
      <c r="G414" s="97"/>
      <c r="H414" s="89"/>
      <c r="I414" s="88"/>
      <c r="J414" s="88"/>
      <c r="K414" s="88"/>
      <c r="L414" s="88"/>
      <c r="M414" s="88"/>
      <c r="N414" s="88"/>
      <c r="O414" s="86"/>
      <c r="P414" s="86"/>
      <c r="Q414" s="14" t="e">
        <v>#N/A</v>
      </c>
      <c r="R414" s="14" t="e">
        <v>#N/A</v>
      </c>
      <c r="S414" s="14"/>
      <c r="T414" s="90"/>
      <c r="U414" s="14"/>
      <c r="V414" s="14"/>
      <c r="W414" s="87"/>
      <c r="X414" s="86"/>
      <c r="Y414" s="96">
        <f ca="1">Table25[[#This Row],[End Date]]+2-TODAY()</f>
        <v>-45816</v>
      </c>
      <c r="Z414" s="14">
        <f>IF(ISBLANK(Table25[[#This Row],[Roster Received By]]),1,0)</f>
        <v>1</v>
      </c>
      <c r="AA414" s="87">
        <f ca="1">IF(Table25[[#This Row],[Start Date]]&gt;TODAY(),1,)</f>
        <v>0</v>
      </c>
    </row>
    <row r="415" spans="1:27" s="52" customFormat="1" hidden="1" x14ac:dyDescent="0.25">
      <c r="B415" s="86"/>
      <c r="C415" s="87" t="e">
        <v>#N/A</v>
      </c>
      <c r="D415" s="87" t="e">
        <v>#N/A</v>
      </c>
      <c r="E415" s="109"/>
      <c r="F415" s="89"/>
      <c r="G415" s="89"/>
      <c r="H415" s="89"/>
      <c r="I415" s="88"/>
      <c r="J415" s="88"/>
      <c r="K415" s="88"/>
      <c r="L415" s="88"/>
      <c r="M415" s="88"/>
      <c r="N415" s="88"/>
      <c r="O415" s="86"/>
      <c r="P415" s="86"/>
      <c r="Q415" s="14" t="e">
        <v>#N/A</v>
      </c>
      <c r="R415" s="14" t="e">
        <v>#N/A</v>
      </c>
      <c r="S415" s="14"/>
      <c r="T415" s="90"/>
      <c r="U415" s="14"/>
      <c r="V415" s="14"/>
      <c r="W415" s="87"/>
      <c r="X415" s="86"/>
      <c r="Y415" s="96">
        <f ca="1">Table25[[#This Row],[End Date]]+2-TODAY()</f>
        <v>-45816</v>
      </c>
      <c r="Z415" s="14">
        <f>IF(ISBLANK(Table25[[#This Row],[Roster Received By]]),1,0)</f>
        <v>1</v>
      </c>
      <c r="AA415" s="87">
        <f ca="1">IF(Table25[[#This Row],[Start Date]]&gt;TODAY(),1,)</f>
        <v>0</v>
      </c>
    </row>
    <row r="416" spans="1:27" s="52" customFormat="1" hidden="1" x14ac:dyDescent="0.25">
      <c r="B416" s="86"/>
      <c r="C416" s="87" t="e">
        <v>#N/A</v>
      </c>
      <c r="D416" s="87" t="e">
        <v>#N/A</v>
      </c>
      <c r="E416" s="109"/>
      <c r="F416" s="89"/>
      <c r="G416" s="89"/>
      <c r="H416" s="95"/>
      <c r="I416" s="95"/>
      <c r="J416" s="89"/>
      <c r="K416" s="89"/>
      <c r="L416" s="89"/>
      <c r="M416" s="89"/>
      <c r="N416" s="89"/>
      <c r="O416" s="86"/>
      <c r="P416" s="86"/>
      <c r="Q416" s="14" t="e">
        <v>#N/A</v>
      </c>
      <c r="R416" s="14" t="e">
        <v>#N/A</v>
      </c>
      <c r="S416" s="14"/>
      <c r="T416" s="90"/>
      <c r="U416" s="14"/>
      <c r="V416" s="14"/>
      <c r="W416" s="87"/>
      <c r="X416" s="86"/>
      <c r="Y416" s="96">
        <f ca="1">Table25[[#This Row],[End Date]]+2-TODAY()</f>
        <v>-45816</v>
      </c>
      <c r="Z416" s="14">
        <f>IF(ISBLANK(Table25[[#This Row],[Roster Received By]]),1,0)</f>
        <v>1</v>
      </c>
      <c r="AA416" s="87">
        <f ca="1">IF(Table25[[#This Row],[Start Date]]&gt;TODAY(),1,)</f>
        <v>0</v>
      </c>
    </row>
    <row r="417" spans="1:27" s="52" customFormat="1" hidden="1" x14ac:dyDescent="0.25">
      <c r="A417" s="86"/>
      <c r="B417" s="86"/>
      <c r="C417" s="87" t="e">
        <v>#N/A</v>
      </c>
      <c r="D417" s="87" t="e">
        <v>#N/A</v>
      </c>
      <c r="E417" s="109"/>
      <c r="F417" s="89"/>
      <c r="G417" s="89"/>
      <c r="H417" s="95"/>
      <c r="I417" s="95"/>
      <c r="J417" s="89"/>
      <c r="K417" s="89"/>
      <c r="L417" s="89"/>
      <c r="M417" s="89"/>
      <c r="N417" s="89"/>
      <c r="O417" s="86"/>
      <c r="P417" s="86"/>
      <c r="Q417" s="14" t="e">
        <v>#N/A</v>
      </c>
      <c r="R417" s="14" t="e">
        <v>#N/A</v>
      </c>
      <c r="S417" s="14"/>
      <c r="T417" s="90"/>
      <c r="U417" s="14"/>
      <c r="V417" s="14"/>
      <c r="W417" s="87"/>
      <c r="X417" s="86"/>
      <c r="Y417" s="96">
        <f ca="1">Table25[[#This Row],[End Date]]+2-TODAY()</f>
        <v>-45816</v>
      </c>
      <c r="Z417" s="14">
        <f>IF(ISBLANK(Table25[[#This Row],[Roster Received By]]),1,0)</f>
        <v>1</v>
      </c>
      <c r="AA417" s="87">
        <f ca="1">IF(Table25[[#This Row],[Start Date]]&gt;TODAY(),1,)</f>
        <v>0</v>
      </c>
    </row>
    <row r="418" spans="1:27" s="52" customFormat="1" hidden="1" x14ac:dyDescent="0.25">
      <c r="B418" s="86"/>
      <c r="C418" s="87" t="e">
        <v>#N/A</v>
      </c>
      <c r="D418" s="87" t="e">
        <v>#N/A</v>
      </c>
      <c r="E418" s="109"/>
      <c r="F418" s="89"/>
      <c r="G418" s="89"/>
      <c r="H418" s="89"/>
      <c r="I418" s="88"/>
      <c r="J418" s="88"/>
      <c r="K418" s="88"/>
      <c r="L418" s="88"/>
      <c r="M418" s="88"/>
      <c r="N418" s="88"/>
      <c r="O418" s="86"/>
      <c r="P418" s="86"/>
      <c r="Q418" s="14" t="e">
        <v>#N/A</v>
      </c>
      <c r="R418" s="14" t="e">
        <v>#N/A</v>
      </c>
      <c r="S418" s="14"/>
      <c r="T418" s="90"/>
      <c r="U418" s="14"/>
      <c r="V418" s="14"/>
      <c r="W418" s="87"/>
      <c r="X418" s="86"/>
      <c r="Y418" s="96">
        <f ca="1">Table25[[#This Row],[End Date]]+2-TODAY()</f>
        <v>-45816</v>
      </c>
      <c r="Z418" s="14">
        <f>IF(ISBLANK(Table25[[#This Row],[Roster Received By]]),1,0)</f>
        <v>1</v>
      </c>
      <c r="AA418" s="87">
        <f ca="1">IF(Table25[[#This Row],[Start Date]]&gt;TODAY(),1,)</f>
        <v>0</v>
      </c>
    </row>
    <row r="419" spans="1:27" s="52" customFormat="1" hidden="1" x14ac:dyDescent="0.25">
      <c r="B419" s="86"/>
      <c r="C419" s="87" t="e">
        <v>#N/A</v>
      </c>
      <c r="D419" s="87" t="e">
        <v>#N/A</v>
      </c>
      <c r="E419" s="86"/>
      <c r="F419" s="89"/>
      <c r="G419" s="89"/>
      <c r="H419" s="89"/>
      <c r="I419" s="88"/>
      <c r="J419" s="88"/>
      <c r="K419" s="88"/>
      <c r="L419" s="88"/>
      <c r="M419" s="88"/>
      <c r="N419" s="88"/>
      <c r="O419" s="86"/>
      <c r="P419" s="86"/>
      <c r="Q419" s="14" t="e">
        <v>#N/A</v>
      </c>
      <c r="R419" s="14" t="e">
        <v>#N/A</v>
      </c>
      <c r="S419" s="14"/>
      <c r="T419" s="90"/>
      <c r="U419" s="14"/>
      <c r="V419" s="14"/>
      <c r="W419" s="87"/>
      <c r="X419" s="86"/>
      <c r="Y419" s="96">
        <f ca="1">Table25[[#This Row],[End Date]]+2-TODAY()</f>
        <v>-45816</v>
      </c>
      <c r="Z419" s="14">
        <f>IF(ISBLANK(Table25[[#This Row],[Roster Received By]]),1,0)</f>
        <v>1</v>
      </c>
      <c r="AA419" s="87">
        <f ca="1">IF(Table25[[#This Row],[Start Date]]&gt;TODAY(),1,)</f>
        <v>0</v>
      </c>
    </row>
    <row r="420" spans="1:27" s="52" customFormat="1" hidden="1" x14ac:dyDescent="0.25">
      <c r="B420" s="86"/>
      <c r="C420" s="87" t="e">
        <v>#N/A</v>
      </c>
      <c r="D420" s="87" t="e">
        <v>#N/A</v>
      </c>
      <c r="E420" s="86"/>
      <c r="F420" s="89"/>
      <c r="G420" s="89"/>
      <c r="H420" s="92"/>
      <c r="I420" s="99"/>
      <c r="J420" s="99"/>
      <c r="K420" s="99"/>
      <c r="L420" s="99"/>
      <c r="M420" s="99"/>
      <c r="N420" s="99"/>
      <c r="O420" s="86"/>
      <c r="P420" s="86"/>
      <c r="Q420" s="14" t="e">
        <v>#N/A</v>
      </c>
      <c r="R420" s="14" t="e">
        <v>#N/A</v>
      </c>
      <c r="S420" s="90"/>
      <c r="T420" s="100"/>
      <c r="U420" s="100"/>
      <c r="V420" s="100"/>
      <c r="W420" s="100"/>
      <c r="X420" s="86"/>
      <c r="Y420" s="100"/>
    </row>
    <row r="421" spans="1:27" s="52" customFormat="1" hidden="1" x14ac:dyDescent="0.25">
      <c r="B421" s="86"/>
      <c r="C421" s="87" t="e">
        <v>#N/A</v>
      </c>
      <c r="D421" s="87" t="e">
        <v>#N/A</v>
      </c>
      <c r="E421" s="86"/>
      <c r="F421" s="89"/>
      <c r="G421" s="89"/>
      <c r="H421" s="92"/>
      <c r="I421" s="92"/>
      <c r="J421" s="89"/>
      <c r="K421" s="89"/>
      <c r="L421" s="89"/>
      <c r="M421" s="89"/>
      <c r="N421" s="89"/>
      <c r="O421" s="86"/>
      <c r="P421" s="86"/>
      <c r="Q421" s="14" t="e">
        <v>#N/A</v>
      </c>
      <c r="R421" s="14" t="e">
        <v>#N/A</v>
      </c>
      <c r="S421" s="90"/>
      <c r="T421" s="90"/>
      <c r="U421" s="14"/>
      <c r="V421" s="14"/>
      <c r="W421" s="87"/>
      <c r="X421" s="86"/>
      <c r="Y421" s="96">
        <f ca="1">Table25[[#This Row],[End Date]]+2-TODAY()</f>
        <v>-45816</v>
      </c>
      <c r="Z421" s="14">
        <f>IF(ISBLANK(Table25[[#This Row],[Roster Received By]]),1,0)</f>
        <v>1</v>
      </c>
      <c r="AA421" s="87">
        <f ca="1">IF(Table25[[#This Row],[Start Date]]&gt;TODAY(),1,)</f>
        <v>0</v>
      </c>
    </row>
    <row r="422" spans="1:27" s="52" customFormat="1" hidden="1" x14ac:dyDescent="0.25">
      <c r="B422" s="86"/>
      <c r="C422" s="87" t="e">
        <v>#N/A</v>
      </c>
      <c r="D422" s="87" t="e">
        <v>#N/A</v>
      </c>
      <c r="E422" s="54"/>
      <c r="F422" s="89"/>
      <c r="G422" s="89"/>
      <c r="H422" s="92"/>
      <c r="I422" s="92"/>
      <c r="J422" s="89"/>
      <c r="K422" s="89"/>
      <c r="L422" s="89"/>
      <c r="M422" s="89"/>
      <c r="N422" s="89"/>
      <c r="O422" s="86"/>
      <c r="P422" s="86"/>
      <c r="Q422" s="14" t="e">
        <v>#N/A</v>
      </c>
      <c r="R422" s="14" t="e">
        <v>#N/A</v>
      </c>
      <c r="S422" s="14"/>
      <c r="T422" s="90"/>
      <c r="U422" s="14"/>
      <c r="V422" s="14"/>
      <c r="W422" s="14"/>
      <c r="X422" s="86"/>
      <c r="Y422" s="59">
        <f ca="1">Table25[[#This Row],[End Date]]+2-TODAY()</f>
        <v>-45816</v>
      </c>
      <c r="Z422" s="14">
        <f>IF(ISBLANK(Table25[[#This Row],[Roster Received By]]),1,0)</f>
        <v>1</v>
      </c>
      <c r="AA422" s="14">
        <f ca="1">IF(Table25[[#This Row],[Start Date]]&gt;TODAY(),1,)</f>
        <v>0</v>
      </c>
    </row>
    <row r="423" spans="1:27" s="52" customFormat="1" hidden="1" x14ac:dyDescent="0.25">
      <c r="B423" s="86"/>
      <c r="C423" s="87" t="e">
        <v>#N/A</v>
      </c>
      <c r="D423" s="87" t="e">
        <v>#N/A</v>
      </c>
      <c r="E423" s="86"/>
      <c r="F423" s="89"/>
      <c r="G423" s="89"/>
      <c r="H423" s="92"/>
      <c r="I423" s="92"/>
      <c r="J423" s="89"/>
      <c r="K423" s="89"/>
      <c r="L423" s="89"/>
      <c r="M423" s="89"/>
      <c r="N423" s="89"/>
      <c r="O423" s="86"/>
      <c r="P423" s="86"/>
      <c r="Q423" s="14" t="e">
        <v>#N/A</v>
      </c>
      <c r="R423" s="14" t="e">
        <v>#N/A</v>
      </c>
      <c r="S423" s="14"/>
      <c r="T423" s="90"/>
      <c r="U423" s="14"/>
      <c r="V423" s="14"/>
      <c r="W423" s="87"/>
      <c r="X423" s="86"/>
      <c r="Y423" s="96">
        <f ca="1">Table25[[#This Row],[End Date]]+2-TODAY()</f>
        <v>-45816</v>
      </c>
      <c r="Z423" s="14">
        <f>IF(ISBLANK(Table25[[#This Row],[Roster Received By]]),1,0)</f>
        <v>1</v>
      </c>
      <c r="AA423" s="87">
        <f ca="1">IF(Table25[[#This Row],[Start Date]]&gt;TODAY(),1,)</f>
        <v>0</v>
      </c>
    </row>
    <row r="424" spans="1:27" s="52" customFormat="1" hidden="1" x14ac:dyDescent="0.25">
      <c r="B424" s="86"/>
      <c r="C424" s="87" t="e">
        <v>#N/A</v>
      </c>
      <c r="D424" s="87" t="e">
        <v>#N/A</v>
      </c>
      <c r="E424" s="54"/>
      <c r="F424" s="89"/>
      <c r="G424" s="89"/>
      <c r="H424" s="92"/>
      <c r="I424" s="92"/>
      <c r="J424" s="89"/>
      <c r="K424" s="89"/>
      <c r="L424" s="89"/>
      <c r="M424" s="89"/>
      <c r="N424" s="89"/>
      <c r="O424" s="86"/>
      <c r="P424" s="86"/>
      <c r="Q424" s="14" t="e">
        <v>#N/A</v>
      </c>
      <c r="R424" s="14" t="e">
        <v>#N/A</v>
      </c>
      <c r="S424" s="14"/>
      <c r="T424" s="90"/>
      <c r="U424" s="14"/>
      <c r="V424" s="14"/>
      <c r="W424" s="87"/>
      <c r="X424" s="86"/>
      <c r="Y424" s="96">
        <f ca="1">Table25[[#This Row],[End Date]]+2-TODAY()</f>
        <v>-45816</v>
      </c>
      <c r="Z424" s="14">
        <f>IF(ISBLANK(Table25[[#This Row],[Roster Received By]]),1,0)</f>
        <v>1</v>
      </c>
      <c r="AA424" s="87">
        <f ca="1">IF(Table25[[#This Row],[Start Date]]&gt;TODAY(),1,)</f>
        <v>0</v>
      </c>
    </row>
    <row r="425" spans="1:27" s="52" customFormat="1" hidden="1" x14ac:dyDescent="0.25">
      <c r="B425" s="86"/>
      <c r="C425" s="87" t="e">
        <v>#N/A</v>
      </c>
      <c r="D425" s="87" t="e">
        <v>#N/A</v>
      </c>
      <c r="E425" s="86"/>
      <c r="F425" s="89"/>
      <c r="G425" s="89"/>
      <c r="H425" s="92"/>
      <c r="I425" s="92"/>
      <c r="J425" s="89"/>
      <c r="K425" s="89"/>
      <c r="L425" s="89"/>
      <c r="M425" s="89"/>
      <c r="N425" s="89"/>
      <c r="O425" s="86"/>
      <c r="P425" s="86"/>
      <c r="Q425" s="14" t="e">
        <v>#N/A</v>
      </c>
      <c r="R425" s="14" t="e">
        <v>#N/A</v>
      </c>
      <c r="S425" s="14"/>
      <c r="T425" s="90"/>
      <c r="U425" s="14"/>
      <c r="V425" s="14"/>
      <c r="W425" s="14"/>
      <c r="X425" s="86"/>
      <c r="Y425" s="96">
        <f ca="1">Table25[[#This Row],[End Date]]+2-TODAY()</f>
        <v>-45816</v>
      </c>
      <c r="Z425" s="14">
        <f>IF(ISBLANK(Table25[[#This Row],[Roster Received By]]),1,0)</f>
        <v>1</v>
      </c>
      <c r="AA425" s="87">
        <f ca="1">IF(Table25[[#This Row],[Start Date]]&gt;TODAY(),1,)</f>
        <v>0</v>
      </c>
    </row>
    <row r="426" spans="1:27" s="52" customFormat="1" hidden="1" x14ac:dyDescent="0.25">
      <c r="A426" s="86"/>
      <c r="B426" s="86"/>
      <c r="C426" s="87" t="e">
        <v>#N/A</v>
      </c>
      <c r="D426" s="87" t="e">
        <v>#N/A</v>
      </c>
      <c r="E426" s="86"/>
      <c r="F426" s="89"/>
      <c r="G426" s="89"/>
      <c r="H426" s="92"/>
      <c r="I426" s="92"/>
      <c r="J426" s="89"/>
      <c r="K426" s="89"/>
      <c r="L426" s="89"/>
      <c r="M426" s="89"/>
      <c r="N426" s="89"/>
      <c r="O426" s="86"/>
      <c r="P426" s="86"/>
      <c r="Q426" s="14" t="e">
        <v>#N/A</v>
      </c>
      <c r="R426" s="14" t="e">
        <v>#N/A</v>
      </c>
      <c r="S426" s="14"/>
      <c r="T426" s="90"/>
      <c r="U426" s="14"/>
      <c r="V426" s="14"/>
      <c r="W426" s="87"/>
      <c r="X426" s="86"/>
      <c r="Y426" s="96">
        <f ca="1">Table25[[#This Row],[End Date]]+2-TODAY()</f>
        <v>-45816</v>
      </c>
      <c r="Z426" s="14">
        <f>IF(ISBLANK(Table25[[#This Row],[Roster Received By]]),1,0)</f>
        <v>1</v>
      </c>
      <c r="AA426" s="87">
        <f ca="1">IF(Table25[[#This Row],[Start Date]]&gt;TODAY(),1,)</f>
        <v>0</v>
      </c>
    </row>
    <row r="427" spans="1:27" s="52" customFormat="1" hidden="1" x14ac:dyDescent="0.25">
      <c r="B427" s="86"/>
      <c r="C427" s="87" t="e">
        <v>#N/A</v>
      </c>
      <c r="D427" s="87" t="e">
        <v>#N/A</v>
      </c>
      <c r="E427" s="86"/>
      <c r="F427" s="89"/>
      <c r="G427" s="89"/>
      <c r="H427" s="92"/>
      <c r="I427" s="92"/>
      <c r="J427" s="89"/>
      <c r="K427" s="89"/>
      <c r="L427" s="89"/>
      <c r="M427" s="89"/>
      <c r="N427" s="89"/>
      <c r="O427" s="86"/>
      <c r="P427" s="86"/>
      <c r="Q427" s="14" t="e">
        <v>#N/A</v>
      </c>
      <c r="R427" s="14" t="e">
        <v>#N/A</v>
      </c>
      <c r="S427" s="14"/>
      <c r="T427" s="90"/>
      <c r="U427" s="14"/>
      <c r="V427" s="14"/>
      <c r="W427" s="87"/>
      <c r="X427" s="86"/>
      <c r="Y427" s="96">
        <f ca="1">Table25[[#This Row],[End Date]]+2-TODAY()</f>
        <v>-45816</v>
      </c>
      <c r="Z427" s="14">
        <f>IF(ISBLANK(Table25[[#This Row],[Roster Received By]]),1,0)</f>
        <v>1</v>
      </c>
      <c r="AA427" s="87">
        <f ca="1">IF(Table25[[#This Row],[Start Date]]&gt;TODAY(),1,)</f>
        <v>0</v>
      </c>
    </row>
    <row r="428" spans="1:27" s="52" customFormat="1" hidden="1" x14ac:dyDescent="0.25">
      <c r="B428" s="86"/>
      <c r="C428" s="87" t="e">
        <v>#N/A</v>
      </c>
      <c r="D428" s="87" t="e">
        <v>#N/A</v>
      </c>
      <c r="E428" s="86"/>
      <c r="F428" s="89"/>
      <c r="G428" s="89"/>
      <c r="H428" s="92"/>
      <c r="I428" s="92"/>
      <c r="J428" s="89"/>
      <c r="K428" s="89"/>
      <c r="L428" s="89"/>
      <c r="M428" s="89"/>
      <c r="N428" s="89"/>
      <c r="O428" s="86"/>
      <c r="P428" s="86"/>
      <c r="Q428" s="14" t="e">
        <v>#N/A</v>
      </c>
      <c r="R428" s="14" t="e">
        <v>#N/A</v>
      </c>
      <c r="S428" s="90"/>
      <c r="T428" s="90"/>
      <c r="U428" s="14"/>
      <c r="V428" s="14"/>
      <c r="W428" s="14"/>
      <c r="X428" s="86"/>
      <c r="Y428" s="59">
        <f ca="1">Table25[[#This Row],[End Date]]+2-TODAY()</f>
        <v>-45816</v>
      </c>
      <c r="Z428" s="14">
        <f>IF(ISBLANK(Table25[[#This Row],[Roster Received By]]),1,0)</f>
        <v>1</v>
      </c>
      <c r="AA428" s="14">
        <f ca="1">IF(Table25[[#This Row],[Start Date]]&gt;TODAY(),1,)</f>
        <v>0</v>
      </c>
    </row>
    <row r="429" spans="1:27" s="52" customFormat="1" hidden="1" x14ac:dyDescent="0.25">
      <c r="B429" s="86"/>
      <c r="C429" s="87" t="e">
        <v>#N/A</v>
      </c>
      <c r="D429" s="87" t="e">
        <v>#N/A</v>
      </c>
      <c r="E429" s="54"/>
      <c r="F429" s="89"/>
      <c r="G429" s="89"/>
      <c r="H429" s="92"/>
      <c r="I429" s="92"/>
      <c r="J429" s="89"/>
      <c r="K429" s="89"/>
      <c r="L429" s="89"/>
      <c r="M429" s="89"/>
      <c r="N429" s="89"/>
      <c r="O429" s="86"/>
      <c r="P429" s="86"/>
      <c r="Q429" s="14" t="e">
        <v>#N/A</v>
      </c>
      <c r="R429" s="14" t="e">
        <v>#N/A</v>
      </c>
      <c r="S429" s="14"/>
      <c r="T429" s="90"/>
      <c r="U429" s="14"/>
      <c r="V429" s="14"/>
      <c r="W429" s="87"/>
      <c r="X429" s="86"/>
      <c r="Y429" s="96">
        <f ca="1">Table25[[#This Row],[End Date]]+2-TODAY()</f>
        <v>-45816</v>
      </c>
      <c r="Z429" s="14">
        <f>IF(ISBLANK(Table25[[#This Row],[Roster Received By]]),1,0)</f>
        <v>1</v>
      </c>
      <c r="AA429" s="87">
        <f ca="1">IF(Table25[[#This Row],[Start Date]]&gt;TODAY(),1,)</f>
        <v>0</v>
      </c>
    </row>
    <row r="430" spans="1:27" s="52" customFormat="1" hidden="1" x14ac:dyDescent="0.25">
      <c r="B430" s="86"/>
      <c r="C430" s="87" t="e">
        <v>#N/A</v>
      </c>
      <c r="D430" s="87" t="e">
        <v>#N/A</v>
      </c>
      <c r="E430" s="86"/>
      <c r="F430" s="89"/>
      <c r="G430" s="89"/>
      <c r="H430" s="89"/>
      <c r="I430" s="88"/>
      <c r="J430" s="88"/>
      <c r="K430" s="88"/>
      <c r="L430" s="88"/>
      <c r="M430" s="88"/>
      <c r="N430" s="88"/>
      <c r="O430" s="86"/>
      <c r="P430" s="86"/>
      <c r="Q430" s="14" t="e">
        <v>#N/A</v>
      </c>
      <c r="R430" s="14" t="e">
        <v>#N/A</v>
      </c>
      <c r="S430" s="14"/>
      <c r="T430" s="90"/>
      <c r="U430" s="14"/>
      <c r="V430" s="14"/>
      <c r="W430" s="87"/>
      <c r="X430" s="86"/>
      <c r="Y430" s="96">
        <f ca="1">Table25[[#This Row],[End Date]]+2-TODAY()</f>
        <v>-45816</v>
      </c>
      <c r="Z430" s="14">
        <f>IF(ISBLANK(Table25[[#This Row],[Roster Received By]]),1,0)</f>
        <v>1</v>
      </c>
      <c r="AA430" s="87">
        <f ca="1">IF(Table25[[#This Row],[Start Date]]&gt;TODAY(),1,)</f>
        <v>0</v>
      </c>
    </row>
    <row r="431" spans="1:27" s="52" customFormat="1" hidden="1" x14ac:dyDescent="0.25">
      <c r="A431" s="86"/>
      <c r="B431" s="86"/>
      <c r="C431" s="87" t="e">
        <v>#N/A</v>
      </c>
      <c r="D431" s="87" t="e">
        <v>#N/A</v>
      </c>
      <c r="E431" s="86"/>
      <c r="F431" s="89"/>
      <c r="G431" s="89"/>
      <c r="H431" s="92"/>
      <c r="I431" s="92"/>
      <c r="J431" s="89"/>
      <c r="K431" s="89"/>
      <c r="L431" s="89"/>
      <c r="M431" s="89"/>
      <c r="N431" s="89"/>
      <c r="O431" s="86"/>
      <c r="P431" s="86"/>
      <c r="Q431" s="14" t="e">
        <v>#N/A</v>
      </c>
      <c r="R431" s="14" t="e">
        <v>#N/A</v>
      </c>
      <c r="S431" s="14"/>
      <c r="T431" s="90"/>
      <c r="U431" s="14"/>
      <c r="V431" s="14"/>
      <c r="W431" s="87"/>
      <c r="X431" s="86"/>
      <c r="Y431" s="96">
        <f ca="1">Table25[[#This Row],[End Date]]+2-TODAY()</f>
        <v>-45816</v>
      </c>
      <c r="Z431" s="14">
        <f>IF(ISBLANK(Table25[[#This Row],[Roster Received By]]),1,0)</f>
        <v>1</v>
      </c>
      <c r="AA431" s="87">
        <f ca="1">IF(Table25[[#This Row],[Start Date]]&gt;TODAY(),1,)</f>
        <v>0</v>
      </c>
    </row>
    <row r="432" spans="1:27" s="52" customFormat="1" hidden="1" x14ac:dyDescent="0.25">
      <c r="A432" s="86"/>
      <c r="B432" s="86"/>
      <c r="C432" s="87" t="e">
        <v>#N/A</v>
      </c>
      <c r="D432" s="87" t="e">
        <v>#N/A</v>
      </c>
      <c r="E432" s="54"/>
      <c r="F432" s="89"/>
      <c r="G432" s="89"/>
      <c r="H432" s="92"/>
      <c r="I432" s="92"/>
      <c r="J432" s="89"/>
      <c r="K432" s="89"/>
      <c r="L432" s="89"/>
      <c r="M432" s="89"/>
      <c r="N432" s="89"/>
      <c r="O432" s="86"/>
      <c r="P432" s="86"/>
      <c r="Q432" s="14" t="e">
        <v>#N/A</v>
      </c>
      <c r="R432" s="14" t="e">
        <v>#N/A</v>
      </c>
      <c r="S432" s="14"/>
      <c r="T432" s="90"/>
      <c r="U432" s="14"/>
      <c r="V432" s="14"/>
      <c r="W432" s="87"/>
      <c r="X432" s="86"/>
      <c r="Y432" s="96">
        <f ca="1">Table25[[#This Row],[End Date]]+2-TODAY()</f>
        <v>-45816</v>
      </c>
      <c r="Z432" s="14">
        <f>IF(ISBLANK(Table25[[#This Row],[Roster Received By]]),1,0)</f>
        <v>1</v>
      </c>
      <c r="AA432" s="87">
        <f ca="1">IF(Table25[[#This Row],[Start Date]]&gt;TODAY(),1,)</f>
        <v>0</v>
      </c>
    </row>
    <row r="433" spans="1:27" s="52" customFormat="1" hidden="1" x14ac:dyDescent="0.25">
      <c r="B433" s="86"/>
      <c r="C433" s="87" t="e">
        <v>#N/A</v>
      </c>
      <c r="D433" s="87" t="e">
        <v>#N/A</v>
      </c>
      <c r="E433" s="86"/>
      <c r="F433" s="89"/>
      <c r="G433" s="89"/>
      <c r="H433" s="89"/>
      <c r="I433" s="88"/>
      <c r="J433" s="88"/>
      <c r="K433" s="88"/>
      <c r="L433" s="88"/>
      <c r="M433" s="88"/>
      <c r="N433" s="88"/>
      <c r="O433" s="86"/>
      <c r="P433" s="86"/>
      <c r="Q433" s="14" t="e">
        <v>#N/A</v>
      </c>
      <c r="R433" s="14" t="e">
        <v>#N/A</v>
      </c>
      <c r="S433" s="14"/>
      <c r="T433" s="90"/>
      <c r="U433" s="14"/>
      <c r="V433" s="14"/>
      <c r="W433" s="87"/>
      <c r="X433" s="86"/>
      <c r="Y433" s="96">
        <f ca="1">Table25[[#This Row],[End Date]]+2-TODAY()</f>
        <v>-45816</v>
      </c>
      <c r="Z433" s="14">
        <f>IF(ISBLANK(Table25[[#This Row],[Roster Received By]]),1,0)</f>
        <v>1</v>
      </c>
      <c r="AA433" s="87">
        <f ca="1">IF(Table25[[#This Row],[Start Date]]&gt;TODAY(),1,)</f>
        <v>0</v>
      </c>
    </row>
    <row r="434" spans="1:27" s="52" customFormat="1" hidden="1" x14ac:dyDescent="0.25">
      <c r="B434" s="86"/>
      <c r="C434" s="87" t="e">
        <v>#N/A</v>
      </c>
      <c r="D434" s="87" t="e">
        <v>#N/A</v>
      </c>
      <c r="E434" s="54"/>
      <c r="F434" s="89"/>
      <c r="G434" s="89"/>
      <c r="H434" s="92"/>
      <c r="I434" s="92"/>
      <c r="J434" s="89"/>
      <c r="K434" s="89"/>
      <c r="L434" s="89"/>
      <c r="M434" s="89"/>
      <c r="N434" s="89"/>
      <c r="O434" s="86"/>
      <c r="P434" s="86"/>
      <c r="Q434" s="14" t="e">
        <v>#N/A</v>
      </c>
      <c r="R434" s="14" t="e">
        <v>#N/A</v>
      </c>
      <c r="S434" s="14"/>
      <c r="T434" s="90"/>
      <c r="U434" s="14"/>
      <c r="V434" s="14"/>
      <c r="W434" s="87"/>
      <c r="X434" s="86"/>
      <c r="Y434" s="96">
        <f ca="1">Table25[[#This Row],[End Date]]+2-TODAY()</f>
        <v>-45816</v>
      </c>
      <c r="Z434" s="14">
        <f>IF(ISBLANK(Table25[[#This Row],[Roster Received By]]),1,0)</f>
        <v>1</v>
      </c>
      <c r="AA434" s="87">
        <f ca="1">IF(Table25[[#This Row],[Start Date]]&gt;TODAY(),1,)</f>
        <v>0</v>
      </c>
    </row>
    <row r="435" spans="1:27" s="52" customFormat="1" hidden="1" x14ac:dyDescent="0.25">
      <c r="B435" s="86"/>
      <c r="C435" s="87" t="e">
        <v>#N/A</v>
      </c>
      <c r="D435" s="87" t="e">
        <v>#N/A</v>
      </c>
      <c r="E435" s="54"/>
      <c r="F435" s="89"/>
      <c r="G435" s="89"/>
      <c r="H435" s="92"/>
      <c r="I435" s="92"/>
      <c r="J435" s="89"/>
      <c r="K435" s="89"/>
      <c r="L435" s="89"/>
      <c r="M435" s="89"/>
      <c r="N435" s="89"/>
      <c r="O435" s="86"/>
      <c r="P435" s="86"/>
      <c r="Q435" s="14" t="e">
        <v>#N/A</v>
      </c>
      <c r="R435" s="14" t="e">
        <v>#N/A</v>
      </c>
      <c r="S435" s="14"/>
      <c r="T435" s="90"/>
      <c r="U435" s="14"/>
      <c r="V435" s="14"/>
      <c r="W435" s="14"/>
      <c r="X435" s="86"/>
      <c r="Y435" s="59">
        <f ca="1">Table25[[#This Row],[End Date]]+2-TODAY()</f>
        <v>-45816</v>
      </c>
      <c r="Z435" s="14">
        <f>IF(ISBLANK(Table25[[#This Row],[Roster Received By]]),1,0)</f>
        <v>1</v>
      </c>
      <c r="AA435" s="14">
        <f ca="1">IF(Table25[[#This Row],[Start Date]]&gt;TODAY(),1,)</f>
        <v>0</v>
      </c>
    </row>
    <row r="436" spans="1:27" s="52" customFormat="1" hidden="1" x14ac:dyDescent="0.25">
      <c r="B436" s="86"/>
      <c r="C436" s="87" t="e">
        <v>#N/A</v>
      </c>
      <c r="D436" s="87" t="e">
        <v>#N/A</v>
      </c>
      <c r="E436" s="86"/>
      <c r="F436" s="89"/>
      <c r="G436" s="89"/>
      <c r="H436" s="92"/>
      <c r="I436" s="92"/>
      <c r="J436" s="89"/>
      <c r="K436" s="89"/>
      <c r="L436" s="89"/>
      <c r="M436" s="89"/>
      <c r="N436" s="89"/>
      <c r="O436" s="86"/>
      <c r="P436" s="86"/>
      <c r="Q436" s="14" t="e">
        <v>#N/A</v>
      </c>
      <c r="R436" s="14" t="e">
        <v>#N/A</v>
      </c>
      <c r="S436" s="14"/>
      <c r="T436" s="90"/>
      <c r="U436" s="14"/>
      <c r="V436" s="14"/>
      <c r="W436" s="14"/>
      <c r="X436" s="86"/>
      <c r="Y436" s="59">
        <f ca="1">Table25[[#This Row],[End Date]]+2-TODAY()</f>
        <v>-45816</v>
      </c>
      <c r="Z436" s="14">
        <f>IF(ISBLANK(Table25[[#This Row],[Roster Received By]]),1,0)</f>
        <v>1</v>
      </c>
      <c r="AA436" s="14">
        <f ca="1">IF(Table25[[#This Row],[Start Date]]&gt;TODAY(),1,)</f>
        <v>0</v>
      </c>
    </row>
    <row r="437" spans="1:27" s="52" customFormat="1" hidden="1" x14ac:dyDescent="0.25">
      <c r="B437" s="86"/>
      <c r="C437" s="87" t="e">
        <v>#N/A</v>
      </c>
      <c r="D437" s="87" t="e">
        <v>#N/A</v>
      </c>
      <c r="E437" s="86"/>
      <c r="F437" s="89"/>
      <c r="G437" s="89"/>
      <c r="H437" s="92"/>
      <c r="I437" s="92"/>
      <c r="J437" s="89"/>
      <c r="K437" s="89"/>
      <c r="L437" s="89"/>
      <c r="M437" s="89"/>
      <c r="N437" s="89"/>
      <c r="O437" s="86"/>
      <c r="P437" s="86"/>
      <c r="Q437" s="14" t="e">
        <v>#N/A</v>
      </c>
      <c r="R437" s="14" t="e">
        <v>#N/A</v>
      </c>
      <c r="S437" s="90"/>
      <c r="T437" s="90"/>
      <c r="U437" s="14"/>
      <c r="V437" s="14"/>
      <c r="W437" s="87"/>
      <c r="X437" s="86"/>
      <c r="Y437" s="96">
        <f ca="1">Table25[[#This Row],[End Date]]+2-TODAY()</f>
        <v>-45816</v>
      </c>
      <c r="Z437" s="14">
        <f>IF(ISBLANK(Table25[[#This Row],[Roster Received By]]),1,0)</f>
        <v>1</v>
      </c>
      <c r="AA437" s="87">
        <f ca="1">IF(Table25[[#This Row],[Start Date]]&gt;TODAY(),1,)</f>
        <v>0</v>
      </c>
    </row>
    <row r="438" spans="1:27" s="52" customFormat="1" hidden="1" x14ac:dyDescent="0.25">
      <c r="B438" s="103"/>
      <c r="C438" s="87" t="e">
        <v>#N/A</v>
      </c>
      <c r="D438" s="87" t="e">
        <v>#N/A</v>
      </c>
      <c r="E438" s="86"/>
      <c r="F438" s="56"/>
      <c r="G438" s="89"/>
      <c r="H438" s="89"/>
      <c r="I438" s="88"/>
      <c r="J438" s="88"/>
      <c r="K438" s="88"/>
      <c r="L438" s="88"/>
      <c r="M438" s="88"/>
      <c r="N438" s="88"/>
      <c r="O438" s="86"/>
      <c r="P438" s="86"/>
      <c r="Q438" s="14" t="e">
        <v>#N/A</v>
      </c>
      <c r="R438" s="14" t="e">
        <v>#N/A</v>
      </c>
      <c r="S438" s="14"/>
      <c r="T438" s="90"/>
      <c r="U438" s="14"/>
      <c r="V438" s="14"/>
      <c r="W438" s="87"/>
      <c r="X438" s="86"/>
      <c r="Y438" s="96">
        <f ca="1">Table25[[#This Row],[End Date]]+2-TODAY()</f>
        <v>-45816</v>
      </c>
      <c r="Z438" s="14">
        <f>IF(ISBLANK(Table25[[#This Row],[Roster Received By]]),1,0)</f>
        <v>1</v>
      </c>
      <c r="AA438" s="87">
        <f ca="1">IF(Table25[[#This Row],[Start Date]]&gt;TODAY(),1,)</f>
        <v>0</v>
      </c>
    </row>
    <row r="439" spans="1:27" s="52" customFormat="1" hidden="1" x14ac:dyDescent="0.25">
      <c r="A439" s="86"/>
      <c r="B439" s="103"/>
      <c r="C439" s="87" t="e">
        <v>#N/A</v>
      </c>
      <c r="D439" s="87" t="e">
        <v>#N/A</v>
      </c>
      <c r="E439" s="86"/>
      <c r="F439" s="89"/>
      <c r="G439" s="89"/>
      <c r="H439" s="92"/>
      <c r="I439" s="92"/>
      <c r="J439" s="89"/>
      <c r="K439" s="89"/>
      <c r="L439" s="89"/>
      <c r="M439" s="89"/>
      <c r="N439" s="89"/>
      <c r="O439" s="86"/>
      <c r="P439" s="86"/>
      <c r="Q439" s="14" t="e">
        <v>#N/A</v>
      </c>
      <c r="R439" s="14" t="e">
        <v>#N/A</v>
      </c>
      <c r="S439" s="14"/>
      <c r="T439" s="90"/>
      <c r="U439" s="14"/>
      <c r="V439" s="14"/>
      <c r="W439" s="87"/>
      <c r="X439" s="86"/>
      <c r="Y439" s="96">
        <f ca="1">Table25[[#This Row],[End Date]]+2-TODAY()</f>
        <v>-45816</v>
      </c>
      <c r="Z439" s="14">
        <f>IF(ISBLANK(Table25[[#This Row],[Roster Received By]]),1,0)</f>
        <v>1</v>
      </c>
      <c r="AA439" s="87">
        <f ca="1">IF(Table25[[#This Row],[Start Date]]&gt;TODAY(),1,)</f>
        <v>0</v>
      </c>
    </row>
    <row r="440" spans="1:27" s="52" customFormat="1" hidden="1" x14ac:dyDescent="0.25">
      <c r="B440" s="103"/>
      <c r="C440" s="87" t="e">
        <v>#N/A</v>
      </c>
      <c r="D440" s="87" t="e">
        <v>#N/A</v>
      </c>
      <c r="E440" s="86"/>
      <c r="F440" s="89"/>
      <c r="G440" s="89"/>
      <c r="H440" s="92"/>
      <c r="I440" s="92"/>
      <c r="J440" s="89"/>
      <c r="K440" s="89"/>
      <c r="L440" s="89"/>
      <c r="M440" s="89"/>
      <c r="N440" s="89"/>
      <c r="O440" s="86"/>
      <c r="P440" s="86"/>
      <c r="Q440" s="14" t="e">
        <v>#N/A</v>
      </c>
      <c r="R440" s="14" t="e">
        <v>#N/A</v>
      </c>
      <c r="S440" s="90"/>
      <c r="T440" s="90"/>
      <c r="U440" s="14"/>
      <c r="V440" s="14"/>
      <c r="W440" s="87"/>
      <c r="X440" s="86"/>
      <c r="Y440" s="96">
        <f ca="1">Table25[[#This Row],[End Date]]+2-TODAY()</f>
        <v>-45816</v>
      </c>
      <c r="Z440" s="14">
        <f>IF(ISBLANK(Table25[[#This Row],[Roster Received By]]),1,0)</f>
        <v>1</v>
      </c>
      <c r="AA440" s="87">
        <f ca="1">IF(Table25[[#This Row],[Start Date]]&gt;TODAY(),1,)</f>
        <v>0</v>
      </c>
    </row>
    <row r="441" spans="1:27" s="52" customFormat="1" hidden="1" x14ac:dyDescent="0.25">
      <c r="B441" s="86"/>
      <c r="C441" s="87" t="e">
        <v>#N/A</v>
      </c>
      <c r="D441" s="87" t="e">
        <v>#N/A</v>
      </c>
      <c r="E441" s="86"/>
      <c r="F441" s="89"/>
      <c r="G441" s="89"/>
      <c r="H441" s="89"/>
      <c r="I441" s="88"/>
      <c r="J441" s="88"/>
      <c r="K441" s="88"/>
      <c r="L441" s="88"/>
      <c r="M441" s="88"/>
      <c r="N441" s="88"/>
      <c r="O441" s="86"/>
      <c r="P441" s="86"/>
      <c r="Q441" s="14" t="e">
        <v>#N/A</v>
      </c>
      <c r="R441" s="14" t="e">
        <v>#N/A</v>
      </c>
      <c r="S441" s="14"/>
      <c r="T441" s="90"/>
      <c r="U441" s="14"/>
      <c r="V441" s="14"/>
      <c r="W441" s="87"/>
      <c r="X441" s="86"/>
      <c r="Y441" s="96">
        <f ca="1">Table25[[#This Row],[End Date]]+2-TODAY()</f>
        <v>-45816</v>
      </c>
      <c r="Z441" s="14">
        <f>IF(ISBLANK(Table25[[#This Row],[Roster Received By]]),1,0)</f>
        <v>1</v>
      </c>
      <c r="AA441" s="87">
        <f ca="1">IF(Table25[[#This Row],[Start Date]]&gt;TODAY(),1,)</f>
        <v>0</v>
      </c>
    </row>
    <row r="442" spans="1:27" s="52" customFormat="1" hidden="1" x14ac:dyDescent="0.25">
      <c r="B442" s="103"/>
      <c r="C442" s="87" t="e">
        <v>#N/A</v>
      </c>
      <c r="D442" s="87" t="e">
        <v>#N/A</v>
      </c>
      <c r="E442" s="86"/>
      <c r="F442" s="89"/>
      <c r="G442" s="89"/>
      <c r="H442" s="89"/>
      <c r="I442" s="88"/>
      <c r="J442" s="88"/>
      <c r="K442" s="88"/>
      <c r="L442" s="88"/>
      <c r="M442" s="88"/>
      <c r="N442" s="88"/>
      <c r="O442" s="86"/>
      <c r="P442" s="86"/>
      <c r="Q442" s="14" t="e">
        <v>#N/A</v>
      </c>
      <c r="R442" s="14" t="e">
        <v>#N/A</v>
      </c>
      <c r="S442" s="14"/>
      <c r="T442" s="90"/>
      <c r="U442" s="14"/>
      <c r="V442" s="14"/>
      <c r="W442" s="87"/>
      <c r="X442" s="86"/>
      <c r="Y442" s="96">
        <f ca="1">Table25[[#This Row],[End Date]]+2-TODAY()</f>
        <v>-45816</v>
      </c>
      <c r="Z442" s="14">
        <f>IF(ISBLANK(Table25[[#This Row],[Roster Received By]]),1,0)</f>
        <v>1</v>
      </c>
      <c r="AA442" s="87">
        <f ca="1">IF(Table25[[#This Row],[Start Date]]&gt;TODAY(),1,)</f>
        <v>0</v>
      </c>
    </row>
    <row r="443" spans="1:27" s="52" customFormat="1" hidden="1" x14ac:dyDescent="0.25">
      <c r="B443" s="86"/>
      <c r="C443" s="87" t="e">
        <v>#N/A</v>
      </c>
      <c r="D443" s="87" t="e">
        <v>#N/A</v>
      </c>
      <c r="E443" s="86"/>
      <c r="F443" s="89"/>
      <c r="G443" s="89"/>
      <c r="H443" s="92"/>
      <c r="I443" s="92"/>
      <c r="J443" s="89"/>
      <c r="K443" s="89"/>
      <c r="L443" s="89"/>
      <c r="M443" s="89"/>
      <c r="N443" s="89"/>
      <c r="O443" s="86"/>
      <c r="P443" s="86"/>
      <c r="Q443" s="14" t="e">
        <v>#N/A</v>
      </c>
      <c r="R443" s="14" t="e">
        <v>#N/A</v>
      </c>
      <c r="S443" s="14"/>
      <c r="T443" s="90"/>
      <c r="U443" s="14"/>
      <c r="V443" s="14"/>
      <c r="W443" s="14"/>
      <c r="X443" s="86"/>
      <c r="Y443" s="59">
        <f ca="1">Table25[[#This Row],[End Date]]+2-TODAY()</f>
        <v>-45816</v>
      </c>
      <c r="Z443" s="14">
        <f>IF(ISBLANK(Table25[[#This Row],[Roster Received By]]),1,0)</f>
        <v>1</v>
      </c>
      <c r="AA443" s="14">
        <f ca="1">IF(Table25[[#This Row],[Start Date]]&gt;TODAY(),1,)</f>
        <v>0</v>
      </c>
    </row>
    <row r="444" spans="1:27" s="52" customFormat="1" hidden="1" x14ac:dyDescent="0.25">
      <c r="A444" s="86"/>
      <c r="B444" s="103"/>
      <c r="C444" s="87" t="e">
        <v>#N/A</v>
      </c>
      <c r="D444" s="87" t="e">
        <v>#N/A</v>
      </c>
      <c r="E444" s="86"/>
      <c r="F444" s="56"/>
      <c r="G444" s="56"/>
      <c r="H444" s="56"/>
      <c r="I444" s="88"/>
      <c r="J444" s="88"/>
      <c r="K444" s="88"/>
      <c r="L444" s="88"/>
      <c r="M444" s="88"/>
      <c r="N444" s="88"/>
      <c r="O444" s="86"/>
      <c r="P444" s="86"/>
      <c r="Q444" s="14" t="e">
        <v>#N/A</v>
      </c>
      <c r="R444" s="14" t="e">
        <v>#N/A</v>
      </c>
      <c r="S444" s="14"/>
      <c r="T444" s="90"/>
      <c r="U444" s="14"/>
      <c r="V444" s="14"/>
      <c r="W444" s="87"/>
      <c r="X444" s="86"/>
      <c r="Y444" s="96">
        <f ca="1">Table25[[#This Row],[End Date]]+2-TODAY()</f>
        <v>-45816</v>
      </c>
      <c r="Z444" s="14">
        <f>IF(ISBLANK(Table25[[#This Row],[Roster Received By]]),1,0)</f>
        <v>1</v>
      </c>
      <c r="AA444" s="87">
        <f ca="1">IF(Table25[[#This Row],[Start Date]]&gt;TODAY(),1,)</f>
        <v>0</v>
      </c>
    </row>
    <row r="445" spans="1:27" s="52" customFormat="1" hidden="1" x14ac:dyDescent="0.25">
      <c r="B445" s="86"/>
      <c r="C445" s="87" t="e">
        <v>#N/A</v>
      </c>
      <c r="D445" s="87" t="e">
        <v>#N/A</v>
      </c>
      <c r="E445" s="86"/>
      <c r="F445" s="89"/>
      <c r="G445" s="89"/>
      <c r="H445" s="89"/>
      <c r="I445" s="88"/>
      <c r="J445" s="88"/>
      <c r="K445" s="88"/>
      <c r="L445" s="88"/>
      <c r="M445" s="88"/>
      <c r="N445" s="88"/>
      <c r="O445" s="86"/>
      <c r="P445" s="86"/>
      <c r="Q445" s="14" t="e">
        <v>#N/A</v>
      </c>
      <c r="R445" s="14" t="e">
        <v>#N/A</v>
      </c>
      <c r="S445" s="14"/>
      <c r="T445" s="90"/>
      <c r="U445" s="14"/>
      <c r="V445" s="14"/>
      <c r="W445" s="87"/>
      <c r="X445" s="86"/>
      <c r="Y445" s="96">
        <f ca="1">Table25[[#This Row],[End Date]]+2-TODAY()</f>
        <v>-45816</v>
      </c>
      <c r="Z445" s="14">
        <f>IF(ISBLANK(Table25[[#This Row],[Roster Received By]]),1,0)</f>
        <v>1</v>
      </c>
      <c r="AA445" s="87">
        <f ca="1">IF(Table25[[#This Row],[Start Date]]&gt;TODAY(),1,)</f>
        <v>0</v>
      </c>
    </row>
    <row r="446" spans="1:27" s="52" customFormat="1" hidden="1" x14ac:dyDescent="0.25">
      <c r="B446" s="86"/>
      <c r="C446" s="87" t="e">
        <v>#N/A</v>
      </c>
      <c r="D446" s="87" t="e">
        <v>#N/A</v>
      </c>
      <c r="E446" s="86"/>
      <c r="F446" s="89"/>
      <c r="G446" s="89"/>
      <c r="H446" s="89"/>
      <c r="I446" s="88"/>
      <c r="J446" s="88"/>
      <c r="K446" s="88"/>
      <c r="L446" s="88"/>
      <c r="M446" s="88"/>
      <c r="N446" s="88"/>
      <c r="O446" s="86"/>
      <c r="P446" s="86"/>
      <c r="Q446" s="14" t="e">
        <v>#N/A</v>
      </c>
      <c r="R446" s="14" t="e">
        <v>#N/A</v>
      </c>
      <c r="S446" s="14"/>
      <c r="T446" s="90"/>
      <c r="U446" s="14"/>
      <c r="V446" s="14"/>
      <c r="W446" s="87"/>
      <c r="X446" s="86"/>
      <c r="Y446" s="96">
        <f ca="1">Table25[[#This Row],[End Date]]+2-TODAY()</f>
        <v>-45816</v>
      </c>
      <c r="Z446" s="14">
        <f>IF(ISBLANK(Table25[[#This Row],[Roster Received By]]),1,0)</f>
        <v>1</v>
      </c>
      <c r="AA446" s="87">
        <f ca="1">IF(Table25[[#This Row],[Start Date]]&gt;TODAY(),1,)</f>
        <v>0</v>
      </c>
    </row>
    <row r="447" spans="1:27" s="52" customFormat="1" hidden="1" x14ac:dyDescent="0.25">
      <c r="B447" s="86"/>
      <c r="C447" s="87" t="e">
        <v>#N/A</v>
      </c>
      <c r="D447" s="87" t="e">
        <v>#N/A</v>
      </c>
      <c r="E447" s="86"/>
      <c r="F447" s="89"/>
      <c r="G447" s="89"/>
      <c r="H447" s="89"/>
      <c r="I447" s="88"/>
      <c r="J447" s="88"/>
      <c r="K447" s="88"/>
      <c r="L447" s="88"/>
      <c r="M447" s="88"/>
      <c r="N447" s="88"/>
      <c r="O447" s="86"/>
      <c r="P447" s="86"/>
      <c r="Q447" s="14" t="e">
        <v>#N/A</v>
      </c>
      <c r="R447" s="14" t="e">
        <v>#N/A</v>
      </c>
      <c r="S447" s="14"/>
      <c r="T447" s="90"/>
      <c r="U447" s="14"/>
      <c r="V447" s="14"/>
      <c r="W447" s="87"/>
      <c r="X447" s="86"/>
      <c r="Y447" s="96">
        <f ca="1">Table25[[#This Row],[End Date]]+2-TODAY()</f>
        <v>-45816</v>
      </c>
      <c r="Z447" s="14">
        <f>IF(ISBLANK(Table25[[#This Row],[Roster Received By]]),1,0)</f>
        <v>1</v>
      </c>
      <c r="AA447" s="87">
        <f ca="1">IF(Table25[[#This Row],[Start Date]]&gt;TODAY(),1,)</f>
        <v>0</v>
      </c>
    </row>
    <row r="448" spans="1:27" s="52" customFormat="1" hidden="1" x14ac:dyDescent="0.25">
      <c r="A448" s="129"/>
      <c r="B448" s="86"/>
      <c r="C448" s="87" t="e">
        <v>#N/A</v>
      </c>
      <c r="D448" s="87" t="e">
        <v>#N/A</v>
      </c>
      <c r="E448" s="86"/>
      <c r="F448" s="89"/>
      <c r="G448" s="89"/>
      <c r="H448" s="92"/>
      <c r="I448" s="92"/>
      <c r="J448" s="89"/>
      <c r="K448" s="89"/>
      <c r="L448" s="89"/>
      <c r="M448" s="89"/>
      <c r="N448" s="89"/>
      <c r="O448" s="86"/>
      <c r="P448" s="86"/>
      <c r="Q448" s="14" t="e">
        <v>#N/A</v>
      </c>
      <c r="R448" s="14" t="e">
        <v>#N/A</v>
      </c>
      <c r="S448" s="90"/>
      <c r="T448" s="90"/>
      <c r="U448" s="14"/>
      <c r="V448" s="14"/>
      <c r="W448" s="87"/>
      <c r="X448" s="86"/>
      <c r="Y448" s="96">
        <f ca="1">Table25[[#This Row],[End Date]]+2-TODAY()</f>
        <v>-45816</v>
      </c>
      <c r="Z448" s="14">
        <f>IF(ISBLANK(Table25[[#This Row],[Roster Received By]]),1,0)</f>
        <v>1</v>
      </c>
      <c r="AA448" s="87">
        <f ca="1">IF(Table25[[#This Row],[Start Date]]&gt;TODAY(),1,)</f>
        <v>0</v>
      </c>
    </row>
    <row r="449" spans="1:27" s="52" customFormat="1" hidden="1" x14ac:dyDescent="0.25">
      <c r="B449" s="86"/>
      <c r="C449" s="87" t="e">
        <v>#N/A</v>
      </c>
      <c r="D449" s="87" t="e">
        <v>#N/A</v>
      </c>
      <c r="E449" s="86"/>
      <c r="F449" s="89"/>
      <c r="G449" s="89"/>
      <c r="H449" s="89"/>
      <c r="I449" s="88"/>
      <c r="J449" s="88"/>
      <c r="K449" s="88"/>
      <c r="L449" s="88"/>
      <c r="M449" s="88"/>
      <c r="N449" s="88"/>
      <c r="O449" s="86"/>
      <c r="P449" s="86"/>
      <c r="Q449" s="14" t="e">
        <v>#N/A</v>
      </c>
      <c r="R449" s="14" t="e">
        <v>#N/A</v>
      </c>
      <c r="S449" s="14"/>
      <c r="T449" s="90"/>
      <c r="U449" s="14"/>
      <c r="V449" s="14"/>
      <c r="W449" s="87"/>
      <c r="X449" s="86"/>
      <c r="Y449" s="96">
        <f ca="1">Table25[[#This Row],[End Date]]+2-TODAY()</f>
        <v>-45816</v>
      </c>
      <c r="Z449" s="14">
        <f>IF(ISBLANK(Table25[[#This Row],[Roster Received By]]),1,0)</f>
        <v>1</v>
      </c>
      <c r="AA449" s="87">
        <f ca="1">IF(Table25[[#This Row],[Start Date]]&gt;TODAY(),1,)</f>
        <v>0</v>
      </c>
    </row>
    <row r="450" spans="1:27" s="52" customFormat="1" hidden="1" x14ac:dyDescent="0.25">
      <c r="A450" s="86"/>
      <c r="B450" s="86"/>
      <c r="C450" s="87" t="e">
        <v>#N/A</v>
      </c>
      <c r="D450" s="87" t="e">
        <v>#N/A</v>
      </c>
      <c r="E450" s="86"/>
      <c r="F450" s="89"/>
      <c r="G450" s="89"/>
      <c r="H450" s="89"/>
      <c r="I450" s="88"/>
      <c r="J450" s="88"/>
      <c r="K450" s="88"/>
      <c r="L450" s="88"/>
      <c r="M450" s="88"/>
      <c r="N450" s="88"/>
      <c r="O450" s="86"/>
      <c r="P450" s="86"/>
      <c r="Q450" s="14" t="e">
        <v>#N/A</v>
      </c>
      <c r="R450" s="14" t="e">
        <v>#N/A</v>
      </c>
      <c r="S450" s="14"/>
      <c r="T450" s="90"/>
      <c r="U450" s="14"/>
      <c r="V450" s="14"/>
      <c r="W450" s="87"/>
      <c r="X450" s="86"/>
      <c r="Y450" s="96">
        <f ca="1">Table25[[#This Row],[End Date]]+2-TODAY()</f>
        <v>-45816</v>
      </c>
      <c r="Z450" s="14">
        <f>IF(ISBLANK(Table25[[#This Row],[Roster Received By]]),1,0)</f>
        <v>1</v>
      </c>
      <c r="AA450" s="87">
        <f ca="1">IF(Table25[[#This Row],[Start Date]]&gt;TODAY(),1,)</f>
        <v>0</v>
      </c>
    </row>
    <row r="451" spans="1:27" s="52" customFormat="1" hidden="1" x14ac:dyDescent="0.25">
      <c r="B451" s="86"/>
      <c r="C451" s="87" t="e">
        <v>#N/A</v>
      </c>
      <c r="D451" s="87" t="e">
        <v>#N/A</v>
      </c>
      <c r="E451" s="86"/>
      <c r="F451" s="89"/>
      <c r="G451" s="89"/>
      <c r="H451" s="92"/>
      <c r="I451" s="92"/>
      <c r="J451" s="89"/>
      <c r="K451" s="89"/>
      <c r="L451" s="89"/>
      <c r="M451" s="89"/>
      <c r="N451" s="89"/>
      <c r="O451" s="86"/>
      <c r="P451" s="86"/>
      <c r="Q451" s="14" t="e">
        <v>#N/A</v>
      </c>
      <c r="R451" s="14" t="e">
        <v>#N/A</v>
      </c>
      <c r="S451" s="90"/>
      <c r="T451" s="90"/>
      <c r="U451" s="14"/>
      <c r="V451" s="14"/>
      <c r="W451" s="87"/>
      <c r="X451" s="86"/>
      <c r="Y451" s="96">
        <f ca="1">Table25[[#This Row],[End Date]]+2-TODAY()</f>
        <v>-45816</v>
      </c>
      <c r="Z451" s="14">
        <f>IF(ISBLANK(Table25[[#This Row],[Roster Received By]]),1,0)</f>
        <v>1</v>
      </c>
      <c r="AA451" s="87">
        <f ca="1">IF(Table25[[#This Row],[Start Date]]&gt;TODAY(),1,)</f>
        <v>0</v>
      </c>
    </row>
    <row r="452" spans="1:27" s="52" customFormat="1" hidden="1" x14ac:dyDescent="0.25">
      <c r="B452" s="86"/>
      <c r="C452" s="87" t="e">
        <v>#N/A</v>
      </c>
      <c r="D452" s="87" t="e">
        <v>#N/A</v>
      </c>
      <c r="E452" s="86"/>
      <c r="F452" s="89"/>
      <c r="G452" s="89"/>
      <c r="H452" s="92"/>
      <c r="I452" s="92"/>
      <c r="J452" s="89"/>
      <c r="K452" s="89"/>
      <c r="L452" s="89"/>
      <c r="M452" s="89"/>
      <c r="N452" s="89"/>
      <c r="O452" s="86"/>
      <c r="P452" s="86"/>
      <c r="Q452" s="14" t="e">
        <v>#N/A</v>
      </c>
      <c r="R452" s="14" t="e">
        <v>#N/A</v>
      </c>
      <c r="S452" s="14"/>
      <c r="T452" s="90"/>
      <c r="U452" s="14"/>
      <c r="V452" s="14"/>
      <c r="W452" s="87"/>
      <c r="X452" s="86"/>
      <c r="Y452" s="96">
        <f ca="1">Table25[[#This Row],[End Date]]+2-TODAY()</f>
        <v>-45816</v>
      </c>
      <c r="Z452" s="14">
        <f>IF(ISBLANK(Table25[[#This Row],[Roster Received By]]),1,0)</f>
        <v>1</v>
      </c>
      <c r="AA452" s="87">
        <f ca="1">IF(Table25[[#This Row],[Start Date]]&gt;TODAY(),1,)</f>
        <v>0</v>
      </c>
    </row>
    <row r="453" spans="1:27" s="52" customFormat="1" hidden="1" x14ac:dyDescent="0.25">
      <c r="B453" s="86"/>
      <c r="C453" s="87" t="e">
        <v>#N/A</v>
      </c>
      <c r="D453" s="87" t="e">
        <v>#N/A</v>
      </c>
      <c r="E453" s="86"/>
      <c r="F453" s="89"/>
      <c r="G453" s="89"/>
      <c r="H453" s="92"/>
      <c r="I453" s="92"/>
      <c r="J453" s="89"/>
      <c r="K453" s="89"/>
      <c r="L453" s="89"/>
      <c r="M453" s="89"/>
      <c r="N453" s="89"/>
      <c r="O453" s="86"/>
      <c r="P453" s="86"/>
      <c r="Q453" s="14" t="e">
        <v>#N/A</v>
      </c>
      <c r="R453" s="14" t="e">
        <v>#N/A</v>
      </c>
      <c r="S453" s="90"/>
      <c r="T453" s="90"/>
      <c r="U453" s="14"/>
      <c r="V453" s="14"/>
      <c r="W453" s="87"/>
      <c r="X453" s="86"/>
      <c r="Y453" s="96">
        <f ca="1">Table25[[#This Row],[End Date]]+2-TODAY()</f>
        <v>-45816</v>
      </c>
      <c r="Z453" s="14">
        <f>IF(ISBLANK(Table25[[#This Row],[Roster Received By]]),1,0)</f>
        <v>1</v>
      </c>
      <c r="AA453" s="87">
        <f ca="1">IF(Table25[[#This Row],[Start Date]]&gt;TODAY(),1,)</f>
        <v>0</v>
      </c>
    </row>
    <row r="454" spans="1:27" s="52" customFormat="1" hidden="1" x14ac:dyDescent="0.25">
      <c r="B454" s="86"/>
      <c r="C454" s="87" t="e">
        <v>#N/A</v>
      </c>
      <c r="D454" s="87" t="e">
        <v>#N/A</v>
      </c>
      <c r="E454" s="86"/>
      <c r="F454" s="89"/>
      <c r="G454" s="89"/>
      <c r="H454" s="92"/>
      <c r="I454" s="92"/>
      <c r="J454" s="89"/>
      <c r="K454" s="89"/>
      <c r="L454" s="89"/>
      <c r="M454" s="89"/>
      <c r="N454" s="89"/>
      <c r="O454" s="86"/>
      <c r="P454" s="86"/>
      <c r="Q454" s="14" t="e">
        <v>#N/A</v>
      </c>
      <c r="R454" s="14" t="e">
        <v>#N/A</v>
      </c>
      <c r="S454" s="14"/>
      <c r="T454" s="90"/>
      <c r="U454" s="14"/>
      <c r="V454" s="14"/>
      <c r="W454" s="14"/>
      <c r="X454" s="86"/>
      <c r="Y454" s="59">
        <f ca="1">Table25[[#This Row],[End Date]]+2-TODAY()</f>
        <v>-45816</v>
      </c>
      <c r="Z454" s="14">
        <f>IF(ISBLANK(Table25[[#This Row],[Roster Received By]]),1,0)</f>
        <v>1</v>
      </c>
      <c r="AA454" s="14">
        <f ca="1">IF(Table25[[#This Row],[Start Date]]&gt;TODAY(),1,)</f>
        <v>0</v>
      </c>
    </row>
    <row r="455" spans="1:27" s="52" customFormat="1" hidden="1" x14ac:dyDescent="0.25">
      <c r="B455" s="86"/>
      <c r="C455" s="87" t="e">
        <v>#N/A</v>
      </c>
      <c r="D455" s="87" t="e">
        <v>#N/A</v>
      </c>
      <c r="E455" s="86"/>
      <c r="F455" s="89"/>
      <c r="G455" s="89"/>
      <c r="H455" s="92"/>
      <c r="I455" s="92"/>
      <c r="J455" s="89"/>
      <c r="K455" s="89"/>
      <c r="L455" s="89"/>
      <c r="M455" s="89"/>
      <c r="N455" s="89"/>
      <c r="O455" s="86"/>
      <c r="P455" s="86"/>
      <c r="Q455" s="14" t="e">
        <v>#N/A</v>
      </c>
      <c r="R455" s="14" t="e">
        <v>#N/A</v>
      </c>
      <c r="S455" s="14"/>
      <c r="T455" s="90"/>
      <c r="U455" s="14"/>
      <c r="V455" s="14"/>
      <c r="W455" s="87"/>
      <c r="X455" s="86"/>
      <c r="Y455" s="96">
        <f ca="1">Table25[[#This Row],[End Date]]+2-TODAY()</f>
        <v>-45816</v>
      </c>
      <c r="Z455" s="14">
        <f>IF(ISBLANK(Table25[[#This Row],[Roster Received By]]),1,0)</f>
        <v>1</v>
      </c>
      <c r="AA455" s="87">
        <f ca="1">IF(Table25[[#This Row],[Start Date]]&gt;TODAY(),1,)</f>
        <v>0</v>
      </c>
    </row>
    <row r="456" spans="1:27" s="52" customFormat="1" hidden="1" x14ac:dyDescent="0.25">
      <c r="B456" s="86"/>
      <c r="C456" s="87" t="e">
        <v>#N/A</v>
      </c>
      <c r="D456" s="87" t="e">
        <v>#N/A</v>
      </c>
      <c r="E456" s="54"/>
      <c r="F456" s="89"/>
      <c r="G456" s="89"/>
      <c r="H456" s="92"/>
      <c r="I456" s="92"/>
      <c r="J456" s="89"/>
      <c r="K456" s="89"/>
      <c r="L456" s="89"/>
      <c r="M456" s="89"/>
      <c r="N456" s="89"/>
      <c r="O456" s="86"/>
      <c r="P456" s="86"/>
      <c r="Q456" s="14" t="e">
        <v>#N/A</v>
      </c>
      <c r="R456" s="14" t="e">
        <v>#N/A</v>
      </c>
      <c r="S456" s="14"/>
      <c r="T456" s="90"/>
      <c r="U456" s="14"/>
      <c r="V456" s="14"/>
      <c r="W456" s="87"/>
      <c r="X456" s="86"/>
      <c r="Y456" s="96">
        <f ca="1">Table25[[#This Row],[End Date]]+2-TODAY()</f>
        <v>-45816</v>
      </c>
      <c r="Z456" s="14">
        <f>IF(ISBLANK(Table25[[#This Row],[Roster Received By]]),1,0)</f>
        <v>1</v>
      </c>
      <c r="AA456" s="87">
        <f ca="1">IF(Table25[[#This Row],[Start Date]]&gt;TODAY(),1,)</f>
        <v>0</v>
      </c>
    </row>
    <row r="457" spans="1:27" s="52" customFormat="1" hidden="1" x14ac:dyDescent="0.25">
      <c r="B457" s="86"/>
      <c r="C457" s="87" t="e">
        <v>#N/A</v>
      </c>
      <c r="D457" s="87" t="e">
        <v>#N/A</v>
      </c>
      <c r="E457" s="86"/>
      <c r="F457" s="89"/>
      <c r="G457" s="89"/>
      <c r="H457" s="92"/>
      <c r="I457" s="92"/>
      <c r="J457" s="89"/>
      <c r="K457" s="89"/>
      <c r="L457" s="89"/>
      <c r="M457" s="89"/>
      <c r="N457" s="89"/>
      <c r="O457" s="86"/>
      <c r="P457" s="86"/>
      <c r="Q457" s="14" t="e">
        <v>#N/A</v>
      </c>
      <c r="R457" s="14" t="e">
        <v>#N/A</v>
      </c>
      <c r="S457" s="90"/>
      <c r="T457" s="90"/>
      <c r="U457" s="14"/>
      <c r="V457" s="14"/>
      <c r="W457" s="87"/>
      <c r="X457" s="86"/>
      <c r="Y457" s="96">
        <f ca="1">Table25[[#This Row],[End Date]]+2-TODAY()</f>
        <v>-45816</v>
      </c>
      <c r="Z457" s="14">
        <f>IF(ISBLANK(Table25[[#This Row],[Roster Received By]]),1,0)</f>
        <v>1</v>
      </c>
      <c r="AA457" s="87">
        <f ca="1">IF(Table25[[#This Row],[Start Date]]&gt;TODAY(),1,)</f>
        <v>0</v>
      </c>
    </row>
    <row r="458" spans="1:27" s="52" customFormat="1" ht="15.75" hidden="1" thickBot="1" x14ac:dyDescent="0.3">
      <c r="A458" s="130"/>
      <c r="B458" s="130"/>
      <c r="C458" s="131" t="e">
        <v>#N/A</v>
      </c>
      <c r="D458" s="131" t="e">
        <v>#N/A</v>
      </c>
      <c r="E458" s="86"/>
      <c r="F458" s="89"/>
      <c r="G458" s="89"/>
      <c r="H458" s="92"/>
      <c r="I458" s="92"/>
      <c r="J458" s="132"/>
      <c r="K458" s="132"/>
      <c r="L458" s="132"/>
      <c r="M458" s="132"/>
      <c r="N458" s="132"/>
      <c r="O458" s="86"/>
      <c r="P458" s="86"/>
      <c r="Q458" s="14" t="e">
        <v>#N/A</v>
      </c>
      <c r="R458" s="14" t="e">
        <v>#N/A</v>
      </c>
      <c r="S458" s="133"/>
      <c r="T458" s="90"/>
      <c r="U458" s="14"/>
      <c r="V458" s="14"/>
      <c r="W458" s="14"/>
      <c r="X458" s="86"/>
      <c r="Y458" s="59">
        <f ca="1">Table25[[#This Row],[End Date]]+2-TODAY()</f>
        <v>-45816</v>
      </c>
      <c r="Z458" s="14">
        <f>IF(ISBLANK(Table25[[#This Row],[Roster Received By]]),1,0)</f>
        <v>1</v>
      </c>
      <c r="AA458" s="14">
        <f ca="1">IF(Table25[[#This Row],[Start Date]]&gt;TODAY(),1,)</f>
        <v>0</v>
      </c>
    </row>
    <row r="459" spans="1:27" x14ac:dyDescent="0.25">
      <c r="A459" s="156" t="s">
        <v>62</v>
      </c>
      <c r="B459" s="156">
        <f>SUBTOTAL(103,Table25[Course Title])</f>
        <v>27</v>
      </c>
      <c r="C459" s="156"/>
      <c r="D459" s="156"/>
      <c r="E459" s="156"/>
      <c r="F459" s="157"/>
      <c r="G459" s="157"/>
      <c r="H459" s="156"/>
      <c r="I459" s="156"/>
      <c r="J459" s="156"/>
      <c r="K459" s="156"/>
      <c r="L459" s="156"/>
      <c r="M459" s="156"/>
      <c r="N459" s="156"/>
      <c r="O459" s="156"/>
      <c r="P459" s="156"/>
      <c r="Q459" s="158">
        <f>SUBTOTAL(109,Q4:Q458)</f>
        <v>810</v>
      </c>
      <c r="R459" s="158">
        <f>SUBTOTAL(109,Table25[Course Length (Days)])</f>
        <v>135</v>
      </c>
      <c r="S459" s="158">
        <f>SUBTOTAL(109,S4:S458)</f>
        <v>0</v>
      </c>
      <c r="T459" s="158">
        <f t="shared" ref="T459:W459" si="0">SUBTOTAL(109,T4:T458)</f>
        <v>0</v>
      </c>
      <c r="U459" s="158">
        <f t="shared" si="0"/>
        <v>0</v>
      </c>
      <c r="V459" s="158">
        <f t="shared" si="0"/>
        <v>0</v>
      </c>
      <c r="W459" s="158">
        <f t="shared" si="0"/>
        <v>0</v>
      </c>
      <c r="X459" s="156">
        <f>SUBTOTAL(103,Table25[Roster Received By])</f>
        <v>0</v>
      </c>
      <c r="Y459" s="159"/>
      <c r="Z459" s="156"/>
      <c r="AA459" s="156"/>
    </row>
  </sheetData>
  <protectedRanges>
    <protectedRange algorithmName="SHA-512" hashValue="n6K25g9uzAcpntxjqTQaPVdKX1eij75CLB1gBuUNBybVL5B3VaxVW/Tcen54TXijIel0fCN9KO3xZiLZCJMSZw==" saltValue="89UdTK4UUElaUoKBccfOYw==" spinCount="100000" sqref="C3:D3" name="CIN CDP"/>
    <protectedRange algorithmName="SHA-512" hashValue="n6K25g9uzAcpntxjqTQaPVdKX1eij75CLB1gBuUNBybVL5B3VaxVW/Tcen54TXijIel0fCN9KO3xZiLZCJMSZw==" saltValue="89UdTK4UUElaUoKBccfOYw==" spinCount="100000" sqref="C183:D458 C113:D181 C4:D112" name="CIN CDP_1"/>
    <protectedRange algorithmName="SHA-512" hashValue="n6K25g9uzAcpntxjqTQaPVdKX1eij75CLB1gBuUNBybVL5B3VaxVW/Tcen54TXijIel0fCN9KO3xZiLZCJMSZw==" saltValue="89UdTK4UUElaUoKBccfOYw==" spinCount="100000" sqref="C182:D182" name="CIN CDP_1_1_2"/>
  </protectedRanges>
  <conditionalFormatting sqref="A14">
    <cfRule type="expression" dxfId="1550" priority="27">
      <formula>$T14="McQueen, Jennifer"</formula>
    </cfRule>
    <cfRule type="expression" dxfId="1549" priority="25">
      <formula>$T14="Benzick, Sue"</formula>
    </cfRule>
    <cfRule type="expression" dxfId="1548" priority="26">
      <formula>$T14="Jenne, Richard"</formula>
    </cfRule>
  </conditionalFormatting>
  <conditionalFormatting sqref="A5:B8 A9:A10 A34:A35 A36:B36 A37 A38:B39 J39:N44 A41:A43 F41:G44 A44:B54 E45:G45 F46:G46 E47:G48 F49:G50 J51:N51 F51:F52 E53:F53 J53:N53 E54:H54 A55:A57 E58 E59:F63 A59:A67 F64 E65:F66 A69:A71 B70 J75:N75 A76:A77 B86 A86:A87 A110:B110 A114 A124:A128 A130:A136 A138:A140 J142:N142 A142:A150 J144:N145 E147:E151 J149:N149 B150:B151 A152:A171 B153:B155 B157:B172 J158:N162 J165:N165 E167:E168 J167:N168 E170:E172 A173:B173 J174:N174 B174:B181 E174:E181 A175:A176 J176:N177 A178 J180:N181 J183:N186 E183:E190 B183:B191 A185:A189 F186:G186 F188:H190 E192:E198 A192:B200 E200 B201:B202 A201:A214 B208 A216:A230 B217:B219 B222 B226 A232:A236 J236:N236 A240 A248 A269 A280 A287 E288:E295 E297:E310 F299:H299 F301:H301 E312:E315 A315 A328 A371 E381:E386 E388:E393 M394:N394 E395:E397 E399:E403 A411 E412:E419 A417 A422">
    <cfRule type="expression" dxfId="1547" priority="212">
      <formula>$T5="Jenne, Richard"</formula>
    </cfRule>
    <cfRule type="expression" dxfId="1546" priority="213">
      <formula>$T5="McQueen, Jennifer"</formula>
    </cfRule>
    <cfRule type="expression" dxfId="1545" priority="211">
      <formula>$T5="Benzick, Sue"</formula>
    </cfRule>
  </conditionalFormatting>
  <conditionalFormatting sqref="A182:B182">
    <cfRule type="expression" dxfId="1544" priority="43">
      <formula>$T182="Benzick, Sue"</formula>
    </cfRule>
    <cfRule type="expression" dxfId="1543" priority="44">
      <formula>$T182="Jenne, Richard"</formula>
    </cfRule>
    <cfRule type="expression" dxfId="1542" priority="45">
      <formula>$T182="McQueen, Jennifer"</formula>
    </cfRule>
  </conditionalFormatting>
  <conditionalFormatting sqref="B95">
    <cfRule type="expression" dxfId="1541" priority="22">
      <formula>$T95="Benzick, Sue"</formula>
    </cfRule>
    <cfRule type="expression" dxfId="1540" priority="23">
      <formula>$T95="Jenne, Richard"</formula>
    </cfRule>
    <cfRule type="expression" dxfId="1539" priority="24">
      <formula>$T95="McQueen, Jennifer"</formula>
    </cfRule>
  </conditionalFormatting>
  <conditionalFormatting sqref="E154">
    <cfRule type="expression" dxfId="1538" priority="52">
      <formula>#REF!="Benzick, Sue"</formula>
    </cfRule>
    <cfRule type="expression" dxfId="1537" priority="53">
      <formula>#REF!="Jenne, Richard"</formula>
    </cfRule>
    <cfRule type="expression" dxfId="1536" priority="54">
      <formula>#REF!="McQueen, Jennifer"</formula>
    </cfRule>
  </conditionalFormatting>
  <conditionalFormatting sqref="E95:F95 F96">
    <cfRule type="expression" dxfId="1535" priority="19">
      <formula>$R95="Benzick, Sue"</formula>
    </cfRule>
    <cfRule type="expression" dxfId="1534" priority="20">
      <formula>$R95="Jenne, Richard"</formula>
    </cfRule>
    <cfRule type="expression" dxfId="1533" priority="21">
      <formula>$R95="McQueen, Jennifer"</formula>
    </cfRule>
  </conditionalFormatting>
  <conditionalFormatting sqref="E98:F98">
    <cfRule type="expression" dxfId="1532" priority="17">
      <formula>$R98="Jenne, Richard"</formula>
    </cfRule>
    <cfRule type="expression" dxfId="1531" priority="18">
      <formula>$R98="McQueen, Jennifer"</formula>
    </cfRule>
    <cfRule type="expression" dxfId="1530" priority="16">
      <formula>$R98="Benzick, Sue"</formula>
    </cfRule>
  </conditionalFormatting>
  <conditionalFormatting sqref="E113:G115 E116:H116 F117:G117">
    <cfRule type="expression" dxfId="1529" priority="200">
      <formula>#REF!="Jenne, Richard"</formula>
    </cfRule>
    <cfRule type="expression" dxfId="1528" priority="199">
      <formula>#REF!="Benzick, Sue"</formula>
    </cfRule>
    <cfRule type="expression" dxfId="1527" priority="201">
      <formula>#REF!="McQueen, Jennifer"</formula>
    </cfRule>
  </conditionalFormatting>
  <conditionalFormatting sqref="E121:G122">
    <cfRule type="expression" dxfId="1526" priority="178">
      <formula>#REF!="Benzick, Sue"</formula>
    </cfRule>
    <cfRule type="expression" dxfId="1525" priority="179">
      <formula>#REF!="Jenne, Richard"</formula>
    </cfRule>
    <cfRule type="expression" dxfId="1524" priority="180">
      <formula>#REF!="McQueen, Jennifer"</formula>
    </cfRule>
  </conditionalFormatting>
  <conditionalFormatting sqref="E199:G199 H219:I219 H220 H221:I226 I234 H235:I236 H239:I245 H255:I256 H258:I258 H274:I274 H275 H276:I280 H288:I288">
    <cfRule type="expression" dxfId="1523" priority="189">
      <formula>#REF!="McQueen, Jennifer"</formula>
    </cfRule>
    <cfRule type="expression" dxfId="1522" priority="188">
      <formula>#REF!="Jenne, Richard"</formula>
    </cfRule>
    <cfRule type="expression" dxfId="1521" priority="187">
      <formula>#REF!="Benzick, Sue"</formula>
    </cfRule>
  </conditionalFormatting>
  <conditionalFormatting sqref="E213:G217">
    <cfRule type="expression" dxfId="1520" priority="166">
      <formula>#REF!="Benzick, Sue"</formula>
    </cfRule>
    <cfRule type="expression" dxfId="1519" priority="167">
      <formula>#REF!="Jenne, Richard"</formula>
    </cfRule>
    <cfRule type="expression" dxfId="1518" priority="168">
      <formula>#REF!="McQueen, Jennifer"</formula>
    </cfRule>
  </conditionalFormatting>
  <conditionalFormatting sqref="E445:G445 E458:G458">
    <cfRule type="expression" dxfId="1517" priority="156">
      <formula>#REF!="McQueen, Jennifer"</formula>
    </cfRule>
    <cfRule type="expression" dxfId="1516" priority="154">
      <formula>#REF!="Benzick, Sue"</formula>
    </cfRule>
    <cfRule type="expression" dxfId="1515" priority="155">
      <formula>#REF!="Jenne, Richard"</formula>
    </cfRule>
  </conditionalFormatting>
  <conditionalFormatting sqref="E119:H120">
    <cfRule type="expression" dxfId="1514" priority="197">
      <formula>#REF!="Jenne, Richard"</formula>
    </cfRule>
    <cfRule type="expression" dxfId="1513" priority="196">
      <formula>#REF!="Benzick, Sue"</formula>
    </cfRule>
    <cfRule type="expression" dxfId="1512" priority="198">
      <formula>#REF!="McQueen, Jennifer"</formula>
    </cfRule>
  </conditionalFormatting>
  <conditionalFormatting sqref="E123:H124 E125:G125">
    <cfRule type="expression" dxfId="1511" priority="181">
      <formula>#REF!="Benzick, Sue"</formula>
    </cfRule>
    <cfRule type="expression" dxfId="1510" priority="182">
      <formula>#REF!="Jenne, Richard"</formula>
    </cfRule>
    <cfRule type="expression" dxfId="1509" priority="183">
      <formula>#REF!="McQueen, Jennifer"</formula>
    </cfRule>
  </conditionalFormatting>
  <conditionalFormatting sqref="E126:H126 E130:H130 F131:I131 E132:I132 H133:I135 H138:I145 H147:I147 H149:I149 H154:I154 H161 H162:I162 H165:I165 H167:I168 H170:I170 H172:I174 H177:I177 I184 H185:I186 H187 H191">
    <cfRule type="expression" dxfId="1508" priority="184">
      <formula>#REF!="Benzick, Sue"</formula>
    </cfRule>
    <cfRule type="expression" dxfId="1507" priority="186">
      <formula>#REF!="McQueen, Jennifer"</formula>
    </cfRule>
    <cfRule type="expression" dxfId="1506" priority="185">
      <formula>#REF!="Jenne, Richard"</formula>
    </cfRule>
  </conditionalFormatting>
  <conditionalFormatting sqref="E200:H200 E201:G205 F206:G206 E207:G207 E208:I210 E211:H211 H229:I233 H247:I248 H250:I250 H263:I264 H269:I269 H271:I272 H282:I282 H287:N287">
    <cfRule type="expression" dxfId="1505" priority="174">
      <formula>#REF!="McQueen, Jennifer"</formula>
    </cfRule>
    <cfRule type="expression" dxfId="1504" priority="173">
      <formula>#REF!="Jenne, Richard"</formula>
    </cfRule>
    <cfRule type="expression" dxfId="1503" priority="172">
      <formula>#REF!="Benzick, Sue"</formula>
    </cfRule>
  </conditionalFormatting>
  <conditionalFormatting sqref="E218:H218">
    <cfRule type="expression" dxfId="1502" priority="169">
      <formula>#REF!="Benzick, Sue"</formula>
    </cfRule>
    <cfRule type="expression" dxfId="1501" priority="170">
      <formula>#REF!="Jenne, Richard"</formula>
    </cfRule>
    <cfRule type="expression" dxfId="1500" priority="171">
      <formula>#REF!="McQueen, Jennifer"</formula>
    </cfRule>
  </conditionalFormatting>
  <conditionalFormatting sqref="F153 F159:F160 F163">
    <cfRule type="expression" dxfId="1499" priority="151">
      <formula>$S154="Benzick, Sue"</formula>
    </cfRule>
    <cfRule type="expression" dxfId="1498" priority="153">
      <formula>$S154="McQueen, Jennifer"</formula>
    </cfRule>
    <cfRule type="expression" dxfId="1497" priority="152">
      <formula>$S154="Jenne, Richard"</formula>
    </cfRule>
  </conditionalFormatting>
  <conditionalFormatting sqref="F154:F155 F164">
    <cfRule type="expression" dxfId="1496" priority="150">
      <formula>$S156="McQueen, Jennifer"</formula>
    </cfRule>
    <cfRule type="expression" dxfId="1495" priority="149">
      <formula>$S156="Jenne, Richard"</formula>
    </cfRule>
    <cfRule type="expression" dxfId="1494" priority="148">
      <formula>$S156="Benzick, Sue"</formula>
    </cfRule>
  </conditionalFormatting>
  <conditionalFormatting sqref="F162">
    <cfRule type="expression" dxfId="1493" priority="143">
      <formula>#REF!="Jenne, Richard"</formula>
    </cfRule>
    <cfRule type="expression" dxfId="1492" priority="142">
      <formula>#REF!="Benzick, Sue"</formula>
    </cfRule>
    <cfRule type="expression" dxfId="1491" priority="144">
      <formula>#REF!="McQueen, Jennifer"</formula>
    </cfRule>
  </conditionalFormatting>
  <conditionalFormatting sqref="F166">
    <cfRule type="expression" dxfId="1490" priority="141">
      <formula>$S170="McQueen, Jennifer"</formula>
    </cfRule>
    <cfRule type="expression" dxfId="1489" priority="139">
      <formula>$S170="Benzick, Sue"</formula>
    </cfRule>
    <cfRule type="expression" dxfId="1488" priority="140">
      <formula>$S170="Jenne, Richard"</formula>
    </cfRule>
  </conditionalFormatting>
  <conditionalFormatting sqref="F193 F195">
    <cfRule type="expression" dxfId="1487" priority="205">
      <formula>$T194="Benzick, Sue"</formula>
    </cfRule>
    <cfRule type="expression" dxfId="1486" priority="206">
      <formula>$T194="Jenne, Richard"</formula>
    </cfRule>
    <cfRule type="expression" dxfId="1485" priority="207">
      <formula>$T194="McQueen, Jennifer"</formula>
    </cfRule>
  </conditionalFormatting>
  <conditionalFormatting sqref="F194">
    <cfRule type="expression" dxfId="1484" priority="227">
      <formula>#REF!="Jenne, Richard"</formula>
    </cfRule>
    <cfRule type="expression" dxfId="1483" priority="226">
      <formula>#REF!="Benzick, Sue"</formula>
    </cfRule>
    <cfRule type="expression" dxfId="1482" priority="228">
      <formula>#REF!="McQueen, Jennifer"</formula>
    </cfRule>
  </conditionalFormatting>
  <conditionalFormatting sqref="F302">
    <cfRule type="expression" dxfId="1481" priority="224">
      <formula>#REF!="Jenne, Richard"</formula>
    </cfRule>
    <cfRule type="expression" dxfId="1480" priority="225">
      <formula>#REF!="McQueen, Jennifer"</formula>
    </cfRule>
    <cfRule type="expression" dxfId="1479" priority="223">
      <formula>#REF!="Benzick, Sue"</formula>
    </cfRule>
  </conditionalFormatting>
  <conditionalFormatting sqref="F67:G67 E68:H68 E86:F86 F87 E89:F89 E109:F110 F135:G135 F150:F151 J217:M217">
    <cfRule type="expression" dxfId="1478" priority="210">
      <formula>$R67="McQueen, Jennifer"</formula>
    </cfRule>
    <cfRule type="expression" dxfId="1477" priority="208">
      <formula>$R67="Benzick, Sue"</formula>
    </cfRule>
    <cfRule type="expression" dxfId="1476" priority="209">
      <formula>$R67="Jenne, Richard"</formula>
    </cfRule>
  </conditionalFormatting>
  <conditionalFormatting sqref="F162:G162">
    <cfRule type="expression" dxfId="1475" priority="145">
      <formula>#REF!="Benzick, Sue"</formula>
    </cfRule>
    <cfRule type="expression" dxfId="1474" priority="147">
      <formula>#REF!="McQueen, Jennifer"</formula>
    </cfRule>
    <cfRule type="expression" dxfId="1473" priority="146">
      <formula>#REF!="Jenne, Richard"</formula>
    </cfRule>
  </conditionalFormatting>
  <conditionalFormatting sqref="F296:H296 H397:I402 H403">
    <cfRule type="expression" dxfId="1472" priority="165">
      <formula>#REF!="McQueen, Jennifer"</formula>
    </cfRule>
    <cfRule type="expression" dxfId="1471" priority="164">
      <formula>#REF!="Jenne, Richard"</formula>
    </cfRule>
    <cfRule type="expression" dxfId="1470" priority="163">
      <formula>#REF!="Benzick, Sue"</formula>
    </cfRule>
  </conditionalFormatting>
  <conditionalFormatting sqref="F297:H298 F382:H382 F384:H384 F385:G386">
    <cfRule type="expression" dxfId="1469" priority="160">
      <formula>$P297="Benzick, Sue"</formula>
    </cfRule>
    <cfRule type="expression" dxfId="1468" priority="162">
      <formula>$P297="McQueen, Jennifer"</formula>
    </cfRule>
    <cfRule type="expression" dxfId="1467" priority="161">
      <formula>$P297="Jenne, Richard"</formula>
    </cfRule>
  </conditionalFormatting>
  <conditionalFormatting sqref="F381:H381 F383:H383 F387:H388 F389:G390 F391:H393 F394:I394 F395:H396 F397:G398 H404:I404 H406:I409">
    <cfRule type="expression" dxfId="1466" priority="159">
      <formula>#REF!="McQueen, Jennifer"</formula>
    </cfRule>
    <cfRule type="expression" dxfId="1465" priority="158">
      <formula>#REF!="Jenne, Richard"</formula>
    </cfRule>
    <cfRule type="expression" dxfId="1464" priority="157">
      <formula>#REF!="Benzick, Sue"</formula>
    </cfRule>
  </conditionalFormatting>
  <conditionalFormatting sqref="G4:I4 H5:I11 H12:N12 J13:N13 H13:I16 H17:N17 H18:I31 G32:I35 G36:N36 G37:I37 F38:I38 F39:G40 H39:I44 H45:N50 H51:I53 I54:N54 I55 H56:I58 I59:I61 H62:I67 J65:N65 J67:N67 I68:N69 H69:H71 I70:I85 J72:N73 H74:H75 J76:N76 H77:H78 J79:N81 H82 J83:N83 H84:H85 H86:I88 H89:H103 I89:N105 H105 I116:N116 H117:I117 E118:I118 I119:N120 I123:N124 I126:N127 E127:G127 I130:N130 I136:N136 I146 I148:N148 I150:N153 I155:N157 H158:I160 I163:N164 H166:N166 I169:N169 H171:N171 I173:N173 I178:N179 H180:I181 H183:I183 I192:N192 I194:N198 H200:N200 H203 H206:N206 I211 H212:I217 I218 I227:N228 I237:N238 I249:N249 I251:N253 I254 I259:N262 I265:N268 I270:N270 I273:N273 I281:N281 I283:N284 I286:N286 I290:N290 I293:N294 H295:I295 I296:N299 H300:I300 I301:N301 I305:N305 H306:I306 H307:N307 I308:N311 H314:I314 I316:N316 I319:N321 I325:N325 I329:N330 I333:N333 I336:N336 I340:N340 I345:N345 I349:N349 I351:N351 I353:N353 H354:I354 I359:N359 H362:I362 I364:N367 I374:N374 I378:N384 I387:N388 I391:N391 I392 I393:N393 I395:N396 I405:N405 I410:N411 H412:I412 I413:N414 H415:I416 I417:N417 H418:I418 I419 H420:I429 I430:N431 H432:I432 I433:N434 H435:I436 H443:I450 F446:G457 I451 H452:I458">
    <cfRule type="expression" dxfId="1463" priority="202">
      <formula>#REF!="Benzick, Sue"</formula>
    </cfRule>
    <cfRule type="expression" dxfId="1462" priority="204">
      <formula>#REF!="McQueen, Jennifer"</formula>
    </cfRule>
    <cfRule type="expression" dxfId="1461" priority="203">
      <formula>#REF!="Jenne, Richard"</formula>
    </cfRule>
  </conditionalFormatting>
  <conditionalFormatting sqref="G182:N182">
    <cfRule type="expression" dxfId="1460" priority="40">
      <formula>#REF!="Benzick, Sue"</formula>
    </cfRule>
    <cfRule type="expression" dxfId="1459" priority="41">
      <formula>#REF!="Jenne, Richard"</formula>
    </cfRule>
    <cfRule type="expression" dxfId="1458" priority="42">
      <formula>#REF!="McQueen, Jennifer"</formula>
    </cfRule>
  </conditionalFormatting>
  <conditionalFormatting sqref="H55 H61 H121:I122 H125:I125 H127 H128:I129 H137 H169 H173 H175:H176 H184">
    <cfRule type="expression" dxfId="1457" priority="177">
      <formula>#REF!="McQueen, Jennifer"</formula>
    </cfRule>
    <cfRule type="expression" dxfId="1456" priority="176">
      <formula>#REF!="Jenne, Richard"</formula>
    </cfRule>
    <cfRule type="expression" dxfId="1455" priority="175">
      <formula>#REF!="Benzick, Sue"</formula>
    </cfRule>
  </conditionalFormatting>
  <conditionalFormatting sqref="H234">
    <cfRule type="expression" dxfId="1454" priority="37">
      <formula>#REF!="Benzick, Sue"</formula>
    </cfRule>
    <cfRule type="expression" dxfId="1453" priority="38">
      <formula>#REF!="Jenne, Richard"</formula>
    </cfRule>
    <cfRule type="expression" dxfId="1452" priority="39">
      <formula>#REF!="McQueen, Jennifer"</formula>
    </cfRule>
  </conditionalFormatting>
  <conditionalFormatting sqref="H106:I115">
    <cfRule type="expression" dxfId="1451" priority="191">
      <formula>#REF!="Jenne, Richard"</formula>
    </cfRule>
    <cfRule type="expression" dxfId="1450" priority="190">
      <formula>#REF!="Benzick, Sue"</formula>
    </cfRule>
    <cfRule type="expression" dxfId="1449" priority="192">
      <formula>#REF!="McQueen, Jennifer"</formula>
    </cfRule>
  </conditionalFormatting>
  <conditionalFormatting sqref="I161">
    <cfRule type="expression" dxfId="1448" priority="34">
      <formula>#REF!="Benzick, Sue"</formula>
    </cfRule>
    <cfRule type="expression" dxfId="1447" priority="35">
      <formula>#REF!="Jenne, Richard"</formula>
    </cfRule>
    <cfRule type="expression" dxfId="1446" priority="36">
      <formula>#REF!="McQueen, Jennifer"</formula>
    </cfRule>
  </conditionalFormatting>
  <conditionalFormatting sqref="I175:I176">
    <cfRule type="expression" dxfId="1445" priority="55">
      <formula>#REF!="Benzick, Sue"</formula>
    </cfRule>
    <cfRule type="expression" dxfId="1444" priority="56">
      <formula>#REF!="Jenne, Richard"</formula>
    </cfRule>
    <cfRule type="expression" dxfId="1443" priority="57">
      <formula>#REF!="McQueen, Jennifer"</formula>
    </cfRule>
  </conditionalFormatting>
  <conditionalFormatting sqref="I203">
    <cfRule type="expression" dxfId="1442" priority="118">
      <formula>#REF!="Benzick, Sue"</formula>
    </cfRule>
    <cfRule type="expression" dxfId="1441" priority="119">
      <formula>#REF!="Jenne, Richard"</formula>
    </cfRule>
    <cfRule type="expression" dxfId="1440" priority="120">
      <formula>#REF!="McQueen, Jennifer"</formula>
    </cfRule>
  </conditionalFormatting>
  <conditionalFormatting sqref="I220">
    <cfRule type="expression" dxfId="1439" priority="82">
      <formula>#REF!="Benzick, Sue"</formula>
    </cfRule>
    <cfRule type="expression" dxfId="1438" priority="83">
      <formula>#REF!="Jenne, Richard"</formula>
    </cfRule>
    <cfRule type="expression" dxfId="1437" priority="84">
      <formula>#REF!="McQueen, Jennifer"</formula>
    </cfRule>
  </conditionalFormatting>
  <conditionalFormatting sqref="I246">
    <cfRule type="expression" dxfId="1436" priority="76">
      <formula>#REF!="Benzick, Sue"</formula>
    </cfRule>
    <cfRule type="expression" dxfId="1435" priority="77">
      <formula>#REF!="Jenne, Richard"</formula>
    </cfRule>
    <cfRule type="expression" dxfId="1434" priority="78">
      <formula>#REF!="McQueen, Jennifer"</formula>
    </cfRule>
  </conditionalFormatting>
  <conditionalFormatting sqref="I285">
    <cfRule type="expression" dxfId="1433" priority="112">
      <formula>#REF!="Benzick, Sue"</formula>
    </cfRule>
    <cfRule type="expression" dxfId="1432" priority="114">
      <formula>#REF!="McQueen, Jennifer"</formula>
    </cfRule>
    <cfRule type="expression" dxfId="1431" priority="113">
      <formula>#REF!="Jenne, Richard"</formula>
    </cfRule>
  </conditionalFormatting>
  <conditionalFormatting sqref="I332">
    <cfRule type="expression" dxfId="1430" priority="116">
      <formula>#REF!="Jenne, Richard"</formula>
    </cfRule>
    <cfRule type="expression" dxfId="1429" priority="115">
      <formula>#REF!="Benzick, Sue"</formula>
    </cfRule>
    <cfRule type="expression" dxfId="1428" priority="117">
      <formula>#REF!="McQueen, Jennifer"</formula>
    </cfRule>
  </conditionalFormatting>
  <conditionalFormatting sqref="I187:N190">
    <cfRule type="expression" dxfId="1427" priority="94">
      <formula>#REF!="Benzick, Sue"</formula>
    </cfRule>
    <cfRule type="expression" dxfId="1426" priority="96">
      <formula>#REF!="McQueen, Jennifer"</formula>
    </cfRule>
    <cfRule type="expression" dxfId="1425" priority="95">
      <formula>#REF!="Jenne, Richard"</formula>
    </cfRule>
  </conditionalFormatting>
  <conditionalFormatting sqref="I257:N257">
    <cfRule type="expression" dxfId="1424" priority="29">
      <formula>#REF!="Jenne, Richard"</formula>
    </cfRule>
    <cfRule type="expression" dxfId="1423" priority="30">
      <formula>#REF!="McQueen, Jennifer"</formula>
    </cfRule>
    <cfRule type="expression" dxfId="1422" priority="28">
      <formula>#REF!="Benzick, Sue"</formula>
    </cfRule>
  </conditionalFormatting>
  <conditionalFormatting sqref="I275:N275">
    <cfRule type="expression" dxfId="1421" priority="31">
      <formula>#REF!="Benzick, Sue"</formula>
    </cfRule>
    <cfRule type="expression" dxfId="1420" priority="33">
      <formula>#REF!="McQueen, Jennifer"</formula>
    </cfRule>
    <cfRule type="expression" dxfId="1419" priority="32">
      <formula>#REF!="Jenne, Richard"</formula>
    </cfRule>
  </conditionalFormatting>
  <conditionalFormatting sqref="I403:N403">
    <cfRule type="expression" dxfId="1418" priority="93">
      <formula>#REF!="McQueen, Jennifer"</formula>
    </cfRule>
    <cfRule type="expression" dxfId="1417" priority="91">
      <formula>#REF!="Benzick, Sue"</formula>
    </cfRule>
    <cfRule type="expression" dxfId="1416" priority="92">
      <formula>#REF!="Jenne, Richard"</formula>
    </cfRule>
  </conditionalFormatting>
  <conditionalFormatting sqref="I437:N442">
    <cfRule type="expression" dxfId="1415" priority="121">
      <formula>#REF!="Benzick, Sue"</formula>
    </cfRule>
    <cfRule type="expression" dxfId="1414" priority="122">
      <formula>#REF!="Jenne, Richard"</formula>
    </cfRule>
    <cfRule type="expression" dxfId="1413" priority="123">
      <formula>#REF!="McQueen, Jennifer"</formula>
    </cfRule>
  </conditionalFormatting>
  <conditionalFormatting sqref="J62">
    <cfRule type="expression" dxfId="1412" priority="111">
      <formula>#REF!="McQueen, Jennifer"</formula>
    </cfRule>
    <cfRule type="expression" dxfId="1411" priority="110">
      <formula>#REF!="Jenne, Richard"</formula>
    </cfRule>
    <cfRule type="expression" dxfId="1410" priority="109">
      <formula>#REF!="Benzick, Sue"</formula>
    </cfRule>
  </conditionalFormatting>
  <conditionalFormatting sqref="J220">
    <cfRule type="expression" dxfId="1409" priority="79">
      <formula>$T220="Benzick, Sue"</formula>
    </cfRule>
    <cfRule type="expression" dxfId="1408" priority="80">
      <formula>$T220="Jenne, Richard"</formula>
    </cfRule>
    <cfRule type="expression" dxfId="1407" priority="81">
      <formula>$T220="McQueen, Jennifer"</formula>
    </cfRule>
  </conditionalFormatting>
  <conditionalFormatting sqref="J246">
    <cfRule type="expression" dxfId="1406" priority="75">
      <formula>$T246="McQueen, Jennifer"</formula>
    </cfRule>
    <cfRule type="expression" dxfId="1405" priority="74">
      <formula>$T246="Jenne, Richard"</formula>
    </cfRule>
    <cfRule type="expression" dxfId="1404" priority="73">
      <formula>$T246="Benzick, Sue"</formula>
    </cfRule>
  </conditionalFormatting>
  <conditionalFormatting sqref="J254">
    <cfRule type="expression" dxfId="1403" priority="71">
      <formula>$T254="Jenne, Richard"</formula>
    </cfRule>
    <cfRule type="expression" dxfId="1402" priority="70">
      <formula>$T254="Benzick, Sue"</formula>
    </cfRule>
    <cfRule type="expression" dxfId="1401" priority="72">
      <formula>$T254="McQueen, Jennifer"</formula>
    </cfRule>
  </conditionalFormatting>
  <conditionalFormatting sqref="J392">
    <cfRule type="expression" dxfId="1400" priority="67">
      <formula>$T392="Benzick, Sue"</formula>
    </cfRule>
    <cfRule type="expression" dxfId="1399" priority="69">
      <formula>$T392="McQueen, Jennifer"</formula>
    </cfRule>
    <cfRule type="expression" dxfId="1398" priority="68">
      <formula>$T392="Jenne, Richard"</formula>
    </cfRule>
  </conditionalFormatting>
  <conditionalFormatting sqref="J449">
    <cfRule type="expression" dxfId="1397" priority="66">
      <formula>$T449="McQueen, Jennifer"</formula>
    </cfRule>
    <cfRule type="expression" dxfId="1396" priority="65">
      <formula>$T449="Jenne, Richard"</formula>
    </cfRule>
    <cfRule type="expression" dxfId="1395" priority="64">
      <formula>$T449="Benzick, Sue"</formula>
    </cfRule>
  </conditionalFormatting>
  <conditionalFormatting sqref="J4:N11 T4:T81 J14:N16 J18:N35 A32:A33 S32:S37 S39:S47 S49 S51:S65 E55:F55 F69:G70 S69:S80 E71:G71 E72:H72 F73:H73 E74:G74 J74:N74 F75:G75 F76:H76 E76:E78 F77:G77 J78:N78 F78:F79 A78:A81 E80:F81 S82:T122 J88:N88 J106:N106 B107 A108 J108:N109 A109:B109 E111:F111 J113:N115 J117:N117 T123 S124:T136 A129 E133 J134:N134 E136:H136 E138:G138 S138:T138 J138:N139 E139 S139:S140 T139:T146 F140 K140 M140:N140 F142:G145 S142:S146 F146:H146 J146:N147 F147:F148 F152 E152:E153 E155:E159 E161:E164 E166 E173 F186:F187 S192:T204 J200:N200 J202:N202 T205:T206 S207:T231 J209:N209 J211:N215 A215 J218:N219 J222:N222 J232:N232 S232:S236 T232:T245 J235:N235 T247 J248:N248 S248:T248 T249:T458 A282 A331 J332:N332 A412 A423">
    <cfRule type="expression" dxfId="1394" priority="214">
      <formula>$S4="Benzick, Sue"</formula>
    </cfRule>
    <cfRule type="expression" dxfId="1393" priority="215">
      <formula>$S4="Jenne, Richard"</formula>
    </cfRule>
    <cfRule type="expression" dxfId="1392" priority="216">
      <formula>$S4="McQueen, Jennifer"</formula>
    </cfRule>
  </conditionalFormatting>
  <conditionalFormatting sqref="J37:N37">
    <cfRule type="expression" dxfId="1391" priority="62">
      <formula>$S37="Jenne, Richard"</formula>
    </cfRule>
    <cfRule type="expression" dxfId="1390" priority="61">
      <formula>$S37="Benzick, Sue"</formula>
    </cfRule>
    <cfRule type="expression" dxfId="1389" priority="63">
      <formula>$S37="McQueen, Jennifer"</formula>
    </cfRule>
  </conditionalFormatting>
  <conditionalFormatting sqref="J64:N64">
    <cfRule type="expression" dxfId="1388" priority="89">
      <formula>$T64="Jenne, Richard"</formula>
    </cfRule>
    <cfRule type="expression" dxfId="1387" priority="88">
      <formula>$T64="Benzick, Sue"</formula>
    </cfRule>
    <cfRule type="expression" dxfId="1386" priority="90">
      <formula>$T64="McQueen, Jennifer"</formula>
    </cfRule>
  </conditionalFormatting>
  <conditionalFormatting sqref="J71:N71">
    <cfRule type="expression" dxfId="1385" priority="87">
      <formula>$T71="McQueen, Jennifer"</formula>
    </cfRule>
    <cfRule type="expression" dxfId="1384" priority="86">
      <formula>$T71="Jenne, Richard"</formula>
    </cfRule>
    <cfRule type="expression" dxfId="1383" priority="85">
      <formula>$T71="Benzick, Sue"</formula>
    </cfRule>
  </conditionalFormatting>
  <conditionalFormatting sqref="K62">
    <cfRule type="expression" dxfId="1382" priority="107">
      <formula>#REF!="Jenne, Richard"</formula>
    </cfRule>
    <cfRule type="expression" dxfId="1381" priority="106">
      <formula>#REF!="Benzick, Sue"</formula>
    </cfRule>
    <cfRule type="expression" dxfId="1380" priority="108">
      <formula>#REF!="McQueen, Jennifer"</formula>
    </cfRule>
  </conditionalFormatting>
  <conditionalFormatting sqref="L62">
    <cfRule type="expression" dxfId="1379" priority="105">
      <formula>#REF!="McQueen, Jennifer"</formula>
    </cfRule>
    <cfRule type="expression" dxfId="1378" priority="104">
      <formula>#REF!="Jenne, Richard"</formula>
    </cfRule>
    <cfRule type="expression" dxfId="1377" priority="103">
      <formula>#REF!="Benzick, Sue"</formula>
    </cfRule>
  </conditionalFormatting>
  <conditionalFormatting sqref="M62">
    <cfRule type="expression" dxfId="1376" priority="102">
      <formula>#REF!="McQueen, Jennifer"</formula>
    </cfRule>
    <cfRule type="expression" dxfId="1375" priority="100">
      <formula>#REF!="Benzick, Sue"</formula>
    </cfRule>
    <cfRule type="expression" dxfId="1374" priority="101">
      <formula>#REF!="Jenne, Richard"</formula>
    </cfRule>
  </conditionalFormatting>
  <conditionalFormatting sqref="N62">
    <cfRule type="expression" dxfId="1373" priority="99">
      <formula>#REF!="McQueen, Jennifer"</formula>
    </cfRule>
    <cfRule type="expression" dxfId="1372" priority="98">
      <formula>#REF!="Jenne, Richard"</formula>
    </cfRule>
    <cfRule type="expression" dxfId="1371" priority="97">
      <formula>#REF!="Benzick, Sue"</formula>
    </cfRule>
  </conditionalFormatting>
  <conditionalFormatting sqref="S147:T190">
    <cfRule type="expression" dxfId="1370" priority="48">
      <formula>$S147="McQueen, Jennifer"</formula>
    </cfRule>
    <cfRule type="expression" dxfId="1369" priority="47">
      <formula>$S147="Jenne, Richard"</formula>
    </cfRule>
    <cfRule type="expression" dxfId="1368" priority="46">
      <formula>$S147="Benzick, Sue"</formula>
    </cfRule>
  </conditionalFormatting>
  <conditionalFormatting sqref="W182">
    <cfRule type="expression" dxfId="1367" priority="49">
      <formula>$X182="Benzick, Sue"</formula>
    </cfRule>
    <cfRule type="expression" dxfId="1366" priority="50">
      <formula>$X182="Jenne, Richard"</formula>
    </cfRule>
    <cfRule type="expression" dxfId="1365" priority="51">
      <formula>$X182="McQueen, Jennifer"</formula>
    </cfRule>
  </conditionalFormatting>
  <conditionalFormatting sqref="W335:W337">
    <cfRule type="expression" dxfId="1364" priority="217">
      <formula>$Y335="Benzick, Sue"</formula>
    </cfRule>
    <cfRule type="expression" dxfId="1363" priority="218">
      <formula>$Y335="Jenne, Richard"</formula>
    </cfRule>
    <cfRule type="expression" dxfId="1362" priority="219">
      <formula>$Y335="McQueen, Jennifer"</formula>
    </cfRule>
  </conditionalFormatting>
  <conditionalFormatting sqref="Y4:Y136 W15:W37 J38:N38 W39:W47 W49 W51:W65 W69:W80 W82:W122 W124:W136 W138:W157 Y138:Y190 Y192:Y245 Y247:Y458">
    <cfRule type="expression" dxfId="1361" priority="220">
      <formula>$X4="Benzick, Sue"</formula>
    </cfRule>
    <cfRule type="expression" dxfId="1360" priority="222">
      <formula>$X4="McQueen, Jennifer"</formula>
    </cfRule>
    <cfRule type="expression" dxfId="1359" priority="221">
      <formula>$X4="Jenne, Richard"</formula>
    </cfRule>
  </conditionalFormatting>
  <dataValidations count="4">
    <dataValidation allowBlank="1" showInputMessage="1" showErrorMessage="1" sqref="S138:S190 S247:S458 S192:S245 S4:S136" xr:uid="{8780455E-7938-4059-9F47-AC5C5206BA80}"/>
    <dataValidation type="list" allowBlank="1" showInputMessage="1" showErrorMessage="1" sqref="A72:A74 A179:A181 A183" xr:uid="{A8717146-77B3-498F-BE6E-8CBEDB4CC742}">
      <formula1>Location</formula1>
    </dataValidation>
    <dataValidation type="list" allowBlank="1" showInputMessage="1" showErrorMessage="1" sqref="B460:B466 B468:B738 B4:B458" xr:uid="{7666D769-00E7-465B-BC46-F9D37AAA53EB}">
      <formula1>Class</formula1>
    </dataValidation>
    <dataValidation type="list" allowBlank="1" showInputMessage="1" showErrorMessage="1" sqref="O460:O682" xr:uid="{6971A40A-A76B-40E8-B1D8-FBAE654B1AB9}">
      <formula1>Instructor</formula1>
    </dataValidation>
  </dataValidations>
  <printOptions horizontalCentered="1" verticalCentered="1"/>
  <pageMargins left="0.7" right="0.7" top="0.75" bottom="0.75" header="0.3" footer="0.3"/>
  <pageSetup paperSize="5" scale="35" fitToHeight="0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DEC93-B20D-44F9-942E-18C37F1D2133}">
  <sheetPr>
    <pageSetUpPr fitToPage="1"/>
  </sheetPr>
  <dimension ref="A1:AA459"/>
  <sheetViews>
    <sheetView topLeftCell="B1" zoomScale="90" zoomScaleNormal="90" workbookViewId="0">
      <selection activeCell="AG31" sqref="AG31"/>
    </sheetView>
  </sheetViews>
  <sheetFormatPr defaultColWidth="8.7109375" defaultRowHeight="15" x14ac:dyDescent="0.25"/>
  <cols>
    <col min="1" max="1" width="42.85546875" style="8" bestFit="1" customWidth="1"/>
    <col min="2" max="2" width="64.28515625" style="9" customWidth="1"/>
    <col min="3" max="3" width="14.28515625" style="2" customWidth="1"/>
    <col min="4" max="4" width="16.28515625" style="11" customWidth="1"/>
    <col min="5" max="5" width="21.7109375" style="9" hidden="1" customWidth="1"/>
    <col min="6" max="6" width="17" style="10" bestFit="1" customWidth="1"/>
    <col min="7" max="7" width="15.7109375" style="10" bestFit="1" customWidth="1"/>
    <col min="8" max="8" width="9.85546875" style="33" customWidth="1"/>
    <col min="9" max="9" width="9.7109375" style="33" customWidth="1"/>
    <col min="10" max="14" width="9.7109375" style="33" hidden="1" customWidth="1"/>
    <col min="15" max="15" width="20" style="9" bestFit="1" customWidth="1"/>
    <col min="16" max="16" width="18.42578125" style="9" bestFit="1" customWidth="1"/>
    <col min="17" max="17" width="20.28515625" style="8" customWidth="1"/>
    <col min="18" max="18" width="22.42578125" style="8" customWidth="1"/>
    <col min="19" max="19" width="20.28515625" style="12" hidden="1" customWidth="1"/>
    <col min="20" max="20" width="16" style="32" hidden="1" customWidth="1"/>
    <col min="21" max="21" width="12.28515625" style="32" hidden="1" customWidth="1"/>
    <col min="22" max="22" width="16.42578125" style="32" hidden="1" customWidth="1"/>
    <col min="23" max="23" width="15.85546875" style="32" hidden="1" customWidth="1"/>
    <col min="24" max="24" width="16.5703125" style="8" hidden="1" customWidth="1"/>
    <col min="25" max="25" width="16" style="32" hidden="1" customWidth="1"/>
    <col min="26" max="27" width="11" style="8" hidden="1" customWidth="1"/>
    <col min="28" max="16384" width="8.7109375" style="8"/>
  </cols>
  <sheetData>
    <row r="1" spans="1:27" x14ac:dyDescent="0.25">
      <c r="A1" s="8" t="s">
        <v>466</v>
      </c>
      <c r="B1" s="8"/>
      <c r="H1" s="10"/>
      <c r="I1" s="10"/>
      <c r="J1" s="10"/>
      <c r="K1" s="10"/>
      <c r="L1" s="10"/>
      <c r="M1" s="10"/>
      <c r="N1" s="10"/>
    </row>
    <row r="2" spans="1:27" ht="8.4499999999999993" customHeight="1" x14ac:dyDescent="0.25">
      <c r="A2" s="9"/>
    </row>
    <row r="3" spans="1:27" s="30" customFormat="1" ht="72" customHeight="1" thickBot="1" x14ac:dyDescent="0.3">
      <c r="A3" s="26" t="s">
        <v>467</v>
      </c>
      <c r="B3" s="26" t="s">
        <v>188</v>
      </c>
      <c r="C3" s="26" t="s">
        <v>73</v>
      </c>
      <c r="D3" s="110" t="s">
        <v>189</v>
      </c>
      <c r="E3" s="26" t="s">
        <v>156</v>
      </c>
      <c r="F3" s="27" t="s">
        <v>190</v>
      </c>
      <c r="G3" s="27" t="s">
        <v>191</v>
      </c>
      <c r="H3" s="61" t="s">
        <v>192</v>
      </c>
      <c r="I3" s="61" t="s">
        <v>193</v>
      </c>
      <c r="J3" s="61" t="s">
        <v>194</v>
      </c>
      <c r="K3" s="61" t="s">
        <v>195</v>
      </c>
      <c r="L3" s="61" t="s">
        <v>196</v>
      </c>
      <c r="M3" s="61" t="s">
        <v>197</v>
      </c>
      <c r="N3" s="61" t="s">
        <v>198</v>
      </c>
      <c r="O3" s="26" t="s">
        <v>199</v>
      </c>
      <c r="P3" s="26" t="s">
        <v>200</v>
      </c>
      <c r="Q3" s="29" t="s">
        <v>201</v>
      </c>
      <c r="R3" s="29" t="s">
        <v>203</v>
      </c>
      <c r="S3" s="28" t="s">
        <v>207</v>
      </c>
      <c r="T3" s="28" t="s">
        <v>208</v>
      </c>
      <c r="U3" s="28" t="s">
        <v>13</v>
      </c>
      <c r="V3" s="28" t="s">
        <v>14</v>
      </c>
      <c r="W3" s="28" t="s">
        <v>209</v>
      </c>
      <c r="X3" s="28" t="s">
        <v>210</v>
      </c>
      <c r="Y3" s="28" t="s">
        <v>211</v>
      </c>
      <c r="Z3" s="28" t="s">
        <v>212</v>
      </c>
      <c r="AA3" s="28" t="s">
        <v>213</v>
      </c>
    </row>
    <row r="4" spans="1:27" s="93" customFormat="1" ht="14.25" customHeight="1" x14ac:dyDescent="0.25">
      <c r="A4" s="52"/>
      <c r="B4" s="86" t="s">
        <v>59</v>
      </c>
      <c r="C4" s="87" t="s">
        <v>138</v>
      </c>
      <c r="D4" s="87" t="s">
        <v>139</v>
      </c>
      <c r="E4" s="86"/>
      <c r="F4" s="89">
        <v>45937</v>
      </c>
      <c r="G4" s="89">
        <v>45941</v>
      </c>
      <c r="H4" s="92"/>
      <c r="I4" s="92">
        <v>0.33333333333333331</v>
      </c>
      <c r="J4" s="89"/>
      <c r="K4" s="89"/>
      <c r="L4" s="89"/>
      <c r="M4" s="89"/>
      <c r="N4" s="89"/>
      <c r="O4" s="86" t="s">
        <v>493</v>
      </c>
      <c r="P4" s="86" t="s">
        <v>256</v>
      </c>
      <c r="Q4" s="90">
        <v>45</v>
      </c>
      <c r="R4" s="91">
        <v>4</v>
      </c>
      <c r="S4" s="90"/>
      <c r="T4" s="90"/>
      <c r="U4" s="14"/>
      <c r="V4" s="14"/>
      <c r="W4" s="14"/>
      <c r="X4" s="86"/>
      <c r="Y4" s="59">
        <f ca="1">Table24[[#This Row],[End Date]]+2-TODAY()</f>
        <v>125</v>
      </c>
      <c r="Z4" s="14">
        <f>IF(ISBLANK(Table24[[#This Row],[Roster Received By]]),1,0)</f>
        <v>1</v>
      </c>
      <c r="AA4" s="14">
        <f ca="1">IF(Table24[[#This Row],[Start Date]]&gt;TODAY(),1,)</f>
        <v>1</v>
      </c>
    </row>
    <row r="5" spans="1:27" s="123" customFormat="1" ht="14.25" customHeight="1" x14ac:dyDescent="0.25">
      <c r="A5" s="52"/>
      <c r="B5" s="86" t="s">
        <v>59</v>
      </c>
      <c r="C5" s="87" t="s">
        <v>138</v>
      </c>
      <c r="D5" s="87" t="s">
        <v>139</v>
      </c>
      <c r="E5" s="54"/>
      <c r="F5" s="89">
        <v>45586</v>
      </c>
      <c r="G5" s="89">
        <v>45590</v>
      </c>
      <c r="H5" s="95"/>
      <c r="I5" s="95">
        <v>0.41666666666666669</v>
      </c>
      <c r="J5" s="89"/>
      <c r="K5" s="89"/>
      <c r="L5" s="89"/>
      <c r="M5" s="89"/>
      <c r="N5" s="89"/>
      <c r="O5" s="86" t="s">
        <v>493</v>
      </c>
      <c r="P5" s="86" t="s">
        <v>256</v>
      </c>
      <c r="Q5" s="14">
        <v>45</v>
      </c>
      <c r="R5" s="14">
        <v>4</v>
      </c>
      <c r="S5" s="14"/>
      <c r="T5" s="90"/>
      <c r="U5" s="14"/>
      <c r="V5" s="14"/>
      <c r="W5" s="14"/>
      <c r="X5" s="86"/>
      <c r="Y5" s="59">
        <f ca="1">Table24[[#This Row],[End Date]]+2-TODAY()</f>
        <v>-226</v>
      </c>
      <c r="Z5" s="14">
        <f>IF(ISBLANK(Table24[[#This Row],[Roster Received By]]),1,0)</f>
        <v>1</v>
      </c>
      <c r="AA5" s="14">
        <f ca="1">IF(Table24[[#This Row],[Start Date]]&gt;TODAY(),1,)</f>
        <v>0</v>
      </c>
    </row>
    <row r="6" spans="1:27" s="93" customFormat="1" ht="14.25" customHeight="1" x14ac:dyDescent="0.25">
      <c r="A6" s="52"/>
      <c r="B6" s="86" t="s">
        <v>59</v>
      </c>
      <c r="C6" s="87" t="s">
        <v>138</v>
      </c>
      <c r="D6" s="87" t="s">
        <v>139</v>
      </c>
      <c r="E6" s="86"/>
      <c r="F6" s="89">
        <v>45600</v>
      </c>
      <c r="G6" s="89">
        <v>45603</v>
      </c>
      <c r="H6" s="89"/>
      <c r="I6" s="88">
        <v>0.33333333333333331</v>
      </c>
      <c r="J6" s="92"/>
      <c r="K6" s="92"/>
      <c r="L6" s="92"/>
      <c r="M6" s="92"/>
      <c r="N6" s="92"/>
      <c r="O6" s="86" t="s">
        <v>493</v>
      </c>
      <c r="P6" s="86" t="s">
        <v>256</v>
      </c>
      <c r="Q6" s="14">
        <v>45</v>
      </c>
      <c r="R6" s="14">
        <v>4</v>
      </c>
      <c r="S6" s="14"/>
      <c r="T6" s="90"/>
      <c r="U6" s="14"/>
      <c r="V6" s="14"/>
      <c r="W6" s="14"/>
      <c r="X6" s="86"/>
      <c r="Y6" s="59">
        <f ca="1">Table24[[#This Row],[End Date]]+2-TODAY()</f>
        <v>-213</v>
      </c>
      <c r="Z6" s="14">
        <f>IF(ISBLANK(Table24[[#This Row],[Roster Received By]]),1,0)</f>
        <v>1</v>
      </c>
      <c r="AA6" s="14">
        <f ca="1">IF(Table24[[#This Row],[Start Date]]&gt;TODAY(),1,)</f>
        <v>0</v>
      </c>
    </row>
    <row r="7" spans="1:27" s="93" customFormat="1" ht="14.25" customHeight="1" x14ac:dyDescent="0.25">
      <c r="A7" s="52"/>
      <c r="B7" s="86" t="s">
        <v>59</v>
      </c>
      <c r="C7" s="87" t="s">
        <v>138</v>
      </c>
      <c r="D7" s="87" t="s">
        <v>139</v>
      </c>
      <c r="E7" s="54"/>
      <c r="F7" s="89">
        <v>45614</v>
      </c>
      <c r="G7" s="89">
        <v>45617</v>
      </c>
      <c r="H7" s="92"/>
      <c r="I7" s="92">
        <v>0.41666666666666669</v>
      </c>
      <c r="J7" s="89"/>
      <c r="K7" s="89"/>
      <c r="L7" s="89"/>
      <c r="M7" s="89"/>
      <c r="N7" s="89"/>
      <c r="O7" s="86" t="s">
        <v>493</v>
      </c>
      <c r="P7" s="86" t="s">
        <v>256</v>
      </c>
      <c r="Q7" s="14">
        <v>45</v>
      </c>
      <c r="R7" s="14">
        <v>4</v>
      </c>
      <c r="S7" s="14"/>
      <c r="T7" s="90"/>
      <c r="U7" s="14"/>
      <c r="V7" s="14"/>
      <c r="W7" s="14"/>
      <c r="X7" s="86"/>
      <c r="Y7" s="59">
        <f ca="1">Table24[[#This Row],[End Date]]+2-TODAY()</f>
        <v>-199</v>
      </c>
      <c r="Z7" s="14">
        <f>IF(ISBLANK(Table24[[#This Row],[Roster Received By]]),1,0)</f>
        <v>1</v>
      </c>
      <c r="AA7" s="14">
        <f ca="1">IF(Table24[[#This Row],[Start Date]]&gt;TODAY(),1,)</f>
        <v>0</v>
      </c>
    </row>
    <row r="8" spans="1:27" s="93" customFormat="1" ht="14.25" customHeight="1" x14ac:dyDescent="0.25">
      <c r="A8" s="52"/>
      <c r="B8" s="86" t="s">
        <v>59</v>
      </c>
      <c r="C8" s="87" t="s">
        <v>138</v>
      </c>
      <c r="D8" s="87" t="s">
        <v>139</v>
      </c>
      <c r="E8" s="86"/>
      <c r="F8" s="89">
        <v>45628</v>
      </c>
      <c r="G8" s="89">
        <v>45631</v>
      </c>
      <c r="H8" s="89"/>
      <c r="I8" s="88">
        <v>0.33333333333333331</v>
      </c>
      <c r="J8" s="92"/>
      <c r="K8" s="92"/>
      <c r="L8" s="92"/>
      <c r="M8" s="92"/>
      <c r="N8" s="92"/>
      <c r="O8" s="86" t="s">
        <v>493</v>
      </c>
      <c r="P8" s="86" t="s">
        <v>256</v>
      </c>
      <c r="Q8" s="14">
        <v>45</v>
      </c>
      <c r="R8" s="14">
        <v>4</v>
      </c>
      <c r="S8" s="14"/>
      <c r="T8" s="90"/>
      <c r="U8" s="14"/>
      <c r="V8" s="14"/>
      <c r="W8" s="87"/>
      <c r="X8" s="86"/>
      <c r="Y8" s="59">
        <f ca="1">Table24[[#This Row],[End Date]]+2-TODAY()</f>
        <v>-185</v>
      </c>
      <c r="Z8" s="14">
        <f>IF(ISBLANK(Table24[[#This Row],[Roster Received By]]),1,0)</f>
        <v>1</v>
      </c>
      <c r="AA8" s="14">
        <f ca="1">IF(Table24[[#This Row],[Start Date]]&gt;TODAY(),1,)</f>
        <v>0</v>
      </c>
    </row>
    <row r="9" spans="1:27" s="93" customFormat="1" ht="14.25" customHeight="1" x14ac:dyDescent="0.25">
      <c r="A9" s="52"/>
      <c r="B9" s="86" t="s">
        <v>59</v>
      </c>
      <c r="C9" s="87" t="s">
        <v>138</v>
      </c>
      <c r="D9" s="87" t="s">
        <v>139</v>
      </c>
      <c r="E9" s="86"/>
      <c r="F9" s="89">
        <v>46007</v>
      </c>
      <c r="G9" s="89">
        <v>46010</v>
      </c>
      <c r="H9" s="92"/>
      <c r="I9" s="88">
        <v>0.33333333333333331</v>
      </c>
      <c r="J9" s="89"/>
      <c r="K9" s="89"/>
      <c r="L9" s="89"/>
      <c r="M9" s="89"/>
      <c r="N9" s="89"/>
      <c r="O9" s="86" t="s">
        <v>493</v>
      </c>
      <c r="P9" s="86" t="s">
        <v>256</v>
      </c>
      <c r="Q9" s="14">
        <v>45</v>
      </c>
      <c r="R9" s="14">
        <v>4</v>
      </c>
      <c r="S9" s="90"/>
      <c r="T9" s="90"/>
      <c r="U9" s="14"/>
      <c r="V9" s="14"/>
      <c r="W9" s="87"/>
      <c r="X9" s="86"/>
      <c r="Y9" s="59">
        <f ca="1">Table24[[#This Row],[End Date]]+2-TODAY()</f>
        <v>194</v>
      </c>
      <c r="Z9" s="14">
        <f>IF(ISBLANK(Table24[[#This Row],[Roster Received By]]),1,0)</f>
        <v>1</v>
      </c>
      <c r="AA9" s="14">
        <f ca="1">IF(Table24[[#This Row],[Start Date]]&gt;TODAY(),1,)</f>
        <v>1</v>
      </c>
    </row>
    <row r="10" spans="1:27" s="93" customFormat="1" ht="14.25" customHeight="1" x14ac:dyDescent="0.25">
      <c r="A10" s="52"/>
      <c r="B10" s="86" t="s">
        <v>59</v>
      </c>
      <c r="C10" s="87" t="s">
        <v>138</v>
      </c>
      <c r="D10" s="87" t="s">
        <v>139</v>
      </c>
      <c r="E10" s="54"/>
      <c r="F10" s="89">
        <v>45670</v>
      </c>
      <c r="G10" s="89">
        <v>45673</v>
      </c>
      <c r="H10" s="95"/>
      <c r="I10" s="95">
        <v>0.54166666666666663</v>
      </c>
      <c r="J10" s="89"/>
      <c r="K10" s="89"/>
      <c r="L10" s="89"/>
      <c r="M10" s="89"/>
      <c r="N10" s="89"/>
      <c r="O10" s="86" t="s">
        <v>493</v>
      </c>
      <c r="P10" s="86" t="s">
        <v>256</v>
      </c>
      <c r="Q10" s="14">
        <v>45</v>
      </c>
      <c r="R10" s="14">
        <v>4</v>
      </c>
      <c r="S10" s="14"/>
      <c r="T10" s="90"/>
      <c r="U10" s="14"/>
      <c r="V10" s="14"/>
      <c r="W10" s="14"/>
      <c r="X10" s="86"/>
      <c r="Y10" s="59">
        <f ca="1">Table24[[#This Row],[End Date]]+2-TODAY()</f>
        <v>-143</v>
      </c>
      <c r="Z10" s="14">
        <f>IF(ISBLANK(Table24[[#This Row],[Roster Received By]]),1,0)</f>
        <v>1</v>
      </c>
      <c r="AA10" s="14">
        <f ca="1">IF(Table24[[#This Row],[Start Date]]&gt;TODAY(),1,)</f>
        <v>0</v>
      </c>
    </row>
    <row r="11" spans="1:27" s="93" customFormat="1" ht="14.25" customHeight="1" x14ac:dyDescent="0.25">
      <c r="A11" s="52"/>
      <c r="B11" s="86" t="s">
        <v>59</v>
      </c>
      <c r="C11" s="87" t="s">
        <v>138</v>
      </c>
      <c r="D11" s="87" t="s">
        <v>139</v>
      </c>
      <c r="E11" s="54"/>
      <c r="F11" s="89">
        <v>45678</v>
      </c>
      <c r="G11" s="89">
        <v>45681</v>
      </c>
      <c r="H11" s="95"/>
      <c r="I11" s="95">
        <v>0.41666666666666669</v>
      </c>
      <c r="J11" s="89"/>
      <c r="K11" s="89"/>
      <c r="L11" s="89"/>
      <c r="M11" s="89"/>
      <c r="N11" s="89"/>
      <c r="O11" s="86" t="s">
        <v>493</v>
      </c>
      <c r="P11" s="86" t="s">
        <v>256</v>
      </c>
      <c r="Q11" s="14">
        <v>45</v>
      </c>
      <c r="R11" s="14">
        <v>4</v>
      </c>
      <c r="S11" s="90"/>
      <c r="T11" s="90"/>
      <c r="U11" s="14"/>
      <c r="V11" s="14"/>
      <c r="W11" s="14"/>
      <c r="X11" s="86"/>
      <c r="Y11" s="59">
        <f ca="1">Table24[[#This Row],[End Date]]+2-TODAY()</f>
        <v>-135</v>
      </c>
      <c r="Z11" s="14">
        <f>IF(ISBLANK(Table24[[#This Row],[Roster Received By]]),1,0)</f>
        <v>1</v>
      </c>
      <c r="AA11" s="14">
        <f ca="1">IF(Table24[[#This Row],[Start Date]]&gt;TODAY(),1,)</f>
        <v>0</v>
      </c>
    </row>
    <row r="12" spans="1:27" s="93" customFormat="1" ht="14.25" customHeight="1" x14ac:dyDescent="0.25">
      <c r="A12" s="52"/>
      <c r="B12" s="86" t="s">
        <v>59</v>
      </c>
      <c r="C12" s="87" t="s">
        <v>138</v>
      </c>
      <c r="D12" s="87" t="s">
        <v>139</v>
      </c>
      <c r="E12" s="86"/>
      <c r="F12" s="89">
        <v>45691</v>
      </c>
      <c r="G12" s="89">
        <v>45694</v>
      </c>
      <c r="H12" s="89"/>
      <c r="I12" s="88">
        <v>0.33333333333333331</v>
      </c>
      <c r="J12" s="92"/>
      <c r="K12" s="92"/>
      <c r="L12" s="92"/>
      <c r="M12" s="92"/>
      <c r="N12" s="92"/>
      <c r="O12" s="86" t="s">
        <v>493</v>
      </c>
      <c r="P12" s="86" t="s">
        <v>256</v>
      </c>
      <c r="Q12" s="14">
        <v>45</v>
      </c>
      <c r="R12" s="14">
        <v>4</v>
      </c>
      <c r="S12" s="14"/>
      <c r="T12" s="90"/>
      <c r="U12" s="14"/>
      <c r="V12" s="14"/>
      <c r="W12" s="14"/>
      <c r="X12" s="86"/>
      <c r="Y12" s="59">
        <f ca="1">Table24[[#This Row],[End Date]]+2-TODAY()</f>
        <v>-122</v>
      </c>
      <c r="Z12" s="14">
        <f>IF(ISBLANK(Table24[[#This Row],[Roster Received By]]),1,0)</f>
        <v>1</v>
      </c>
      <c r="AA12" s="14">
        <f ca="1">IF(Table24[[#This Row],[Start Date]]&gt;TODAY(),1,)</f>
        <v>0</v>
      </c>
    </row>
    <row r="13" spans="1:27" s="93" customFormat="1" ht="14.25" customHeight="1" x14ac:dyDescent="0.25">
      <c r="A13" s="52"/>
      <c r="B13" s="86" t="s">
        <v>59</v>
      </c>
      <c r="C13" s="87" t="s">
        <v>138</v>
      </c>
      <c r="D13" s="87" t="s">
        <v>139</v>
      </c>
      <c r="E13" s="86"/>
      <c r="F13" s="89">
        <v>45712</v>
      </c>
      <c r="G13" s="89">
        <v>45715</v>
      </c>
      <c r="H13" s="89"/>
      <c r="I13" s="88">
        <v>0.79166666666666663</v>
      </c>
      <c r="J13" s="92"/>
      <c r="K13" s="92"/>
      <c r="L13" s="92"/>
      <c r="M13" s="92"/>
      <c r="N13" s="92"/>
      <c r="O13" s="86" t="s">
        <v>493</v>
      </c>
      <c r="P13" s="86" t="s">
        <v>256</v>
      </c>
      <c r="Q13" s="14">
        <v>45</v>
      </c>
      <c r="R13" s="14">
        <v>4</v>
      </c>
      <c r="S13" s="14"/>
      <c r="T13" s="90"/>
      <c r="U13" s="14"/>
      <c r="V13" s="14"/>
      <c r="W13" s="14"/>
      <c r="X13" s="86"/>
      <c r="Y13" s="59">
        <f ca="1">Table24[[#This Row],[End Date]]+2-TODAY()</f>
        <v>-101</v>
      </c>
      <c r="Z13" s="14">
        <f>IF(ISBLANK(Table24[[#This Row],[Roster Received By]]),1,0)</f>
        <v>1</v>
      </c>
      <c r="AA13" s="14">
        <f ca="1">IF(Table24[[#This Row],[Start Date]]&gt;TODAY(),1,)</f>
        <v>0</v>
      </c>
    </row>
    <row r="14" spans="1:27" s="93" customFormat="1" ht="14.25" customHeight="1" x14ac:dyDescent="0.25">
      <c r="A14" s="52"/>
      <c r="B14" s="86" t="s">
        <v>59</v>
      </c>
      <c r="C14" s="87" t="s">
        <v>138</v>
      </c>
      <c r="D14" s="87" t="s">
        <v>139</v>
      </c>
      <c r="E14" s="86"/>
      <c r="F14" s="89">
        <v>45720</v>
      </c>
      <c r="G14" s="89">
        <v>45723</v>
      </c>
      <c r="H14" s="89"/>
      <c r="I14" s="88">
        <v>0.45833333333333331</v>
      </c>
      <c r="J14" s="92"/>
      <c r="K14" s="92"/>
      <c r="L14" s="92"/>
      <c r="M14" s="92"/>
      <c r="N14" s="92"/>
      <c r="O14" s="86" t="s">
        <v>493</v>
      </c>
      <c r="P14" s="86" t="s">
        <v>256</v>
      </c>
      <c r="Q14" s="14">
        <v>45</v>
      </c>
      <c r="R14" s="14">
        <v>4</v>
      </c>
      <c r="S14" s="90"/>
      <c r="T14" s="90"/>
      <c r="U14" s="14"/>
      <c r="V14" s="14"/>
      <c r="W14" s="14"/>
      <c r="X14" s="86"/>
      <c r="Y14" s="59">
        <f ca="1">Table24[[#This Row],[End Date]]+2-TODAY()</f>
        <v>-93</v>
      </c>
      <c r="Z14" s="14">
        <f>IF(ISBLANK(Table24[[#This Row],[Roster Received By]]),1,0)</f>
        <v>1</v>
      </c>
      <c r="AA14" s="14">
        <f ca="1">IF(Table24[[#This Row],[Start Date]]&gt;TODAY(),1,)</f>
        <v>0</v>
      </c>
    </row>
    <row r="15" spans="1:27" s="93" customFormat="1" ht="14.25" customHeight="1" x14ac:dyDescent="0.25">
      <c r="A15" s="52"/>
      <c r="B15" s="86" t="s">
        <v>59</v>
      </c>
      <c r="C15" s="87" t="s">
        <v>138</v>
      </c>
      <c r="D15" s="87" t="s">
        <v>139</v>
      </c>
      <c r="E15" s="86"/>
      <c r="F15" s="89">
        <v>45733</v>
      </c>
      <c r="G15" s="89">
        <v>45736</v>
      </c>
      <c r="H15" s="89"/>
      <c r="I15" s="88">
        <v>0.29166666666666669</v>
      </c>
      <c r="J15" s="92"/>
      <c r="K15" s="92"/>
      <c r="L15" s="92"/>
      <c r="M15" s="92"/>
      <c r="N15" s="92"/>
      <c r="O15" s="86" t="s">
        <v>493</v>
      </c>
      <c r="P15" s="86" t="s">
        <v>256</v>
      </c>
      <c r="Q15" s="14">
        <v>45</v>
      </c>
      <c r="R15" s="14">
        <v>4</v>
      </c>
      <c r="S15" s="14"/>
      <c r="T15" s="90"/>
      <c r="U15" s="14"/>
      <c r="V15" s="14"/>
      <c r="W15" s="14"/>
      <c r="X15" s="86"/>
      <c r="Y15" s="59">
        <f ca="1">Table24[[#This Row],[End Date]]+2-TODAY()</f>
        <v>-80</v>
      </c>
      <c r="Z15" s="14">
        <f>IF(ISBLANK(Table24[[#This Row],[Roster Received By]]),1,0)</f>
        <v>1</v>
      </c>
      <c r="AA15" s="14">
        <f ca="1">IF(Table24[[#This Row],[Start Date]]&gt;TODAY(),1,)</f>
        <v>0</v>
      </c>
    </row>
    <row r="16" spans="1:27" s="93" customFormat="1" ht="14.25" customHeight="1" x14ac:dyDescent="0.25">
      <c r="A16" s="52"/>
      <c r="B16" s="86" t="s">
        <v>59</v>
      </c>
      <c r="C16" s="87" t="s">
        <v>138</v>
      </c>
      <c r="D16" s="87" t="s">
        <v>139</v>
      </c>
      <c r="E16" s="86"/>
      <c r="F16" s="89">
        <v>45747</v>
      </c>
      <c r="G16" s="89">
        <v>45750</v>
      </c>
      <c r="H16" s="89"/>
      <c r="I16" s="88">
        <v>0.33333333333333331</v>
      </c>
      <c r="J16" s="92"/>
      <c r="K16" s="92"/>
      <c r="L16" s="92"/>
      <c r="M16" s="92"/>
      <c r="N16" s="92"/>
      <c r="O16" s="86" t="s">
        <v>493</v>
      </c>
      <c r="P16" s="86" t="s">
        <v>256</v>
      </c>
      <c r="Q16" s="14">
        <v>45</v>
      </c>
      <c r="R16" s="14">
        <v>4</v>
      </c>
      <c r="S16" s="14"/>
      <c r="T16" s="90"/>
      <c r="U16" s="14"/>
      <c r="V16" s="14"/>
      <c r="W16" s="14"/>
      <c r="X16" s="86"/>
      <c r="Y16" s="59">
        <f ca="1">Table24[[#This Row],[End Date]]+2-TODAY()</f>
        <v>-66</v>
      </c>
      <c r="Z16" s="14">
        <f>IF(ISBLANK(Table24[[#This Row],[Roster Received By]]),1,0)</f>
        <v>1</v>
      </c>
      <c r="AA16" s="14">
        <f ca="1">IF(Table24[[#This Row],[Start Date]]&gt;TODAY(),1,)</f>
        <v>0</v>
      </c>
    </row>
    <row r="17" spans="1:27" s="93" customFormat="1" ht="14.25" customHeight="1" x14ac:dyDescent="0.25">
      <c r="A17" s="52"/>
      <c r="B17" s="86" t="s">
        <v>59</v>
      </c>
      <c r="C17" s="87" t="s">
        <v>138</v>
      </c>
      <c r="D17" s="87" t="s">
        <v>139</v>
      </c>
      <c r="E17" s="86"/>
      <c r="F17" s="89">
        <v>45762</v>
      </c>
      <c r="G17" s="89">
        <v>45765</v>
      </c>
      <c r="H17" s="89"/>
      <c r="I17" s="88">
        <v>0.41666666666666669</v>
      </c>
      <c r="J17" s="92"/>
      <c r="K17" s="92"/>
      <c r="L17" s="92"/>
      <c r="M17" s="92"/>
      <c r="N17" s="92"/>
      <c r="O17" s="86" t="s">
        <v>493</v>
      </c>
      <c r="P17" s="86" t="s">
        <v>256</v>
      </c>
      <c r="Q17" s="14">
        <v>45</v>
      </c>
      <c r="R17" s="14">
        <v>4</v>
      </c>
      <c r="S17" s="90"/>
      <c r="T17" s="90"/>
      <c r="U17" s="14"/>
      <c r="V17" s="14"/>
      <c r="W17" s="14"/>
      <c r="X17" s="86"/>
      <c r="Y17" s="59">
        <f ca="1">Table24[[#This Row],[End Date]]+2-TODAY()</f>
        <v>-51</v>
      </c>
      <c r="Z17" s="14">
        <f>IF(ISBLANK(Table24[[#This Row],[Roster Received By]]),1,0)</f>
        <v>1</v>
      </c>
      <c r="AA17" s="14">
        <f ca="1">IF(Table24[[#This Row],[Start Date]]&gt;TODAY(),1,)</f>
        <v>0</v>
      </c>
    </row>
    <row r="18" spans="1:27" s="93" customFormat="1" ht="14.25" customHeight="1" x14ac:dyDescent="0.25">
      <c r="A18" s="52"/>
      <c r="B18" s="86" t="s">
        <v>59</v>
      </c>
      <c r="C18" s="87" t="s">
        <v>138</v>
      </c>
      <c r="D18" s="87" t="s">
        <v>139</v>
      </c>
      <c r="E18" s="86"/>
      <c r="F18" s="89">
        <v>45775</v>
      </c>
      <c r="G18" s="89">
        <v>45778</v>
      </c>
      <c r="H18" s="89"/>
      <c r="I18" s="88">
        <v>0.54166666666666663</v>
      </c>
      <c r="J18" s="92"/>
      <c r="K18" s="92"/>
      <c r="L18" s="92"/>
      <c r="M18" s="92"/>
      <c r="N18" s="92"/>
      <c r="O18" s="86" t="s">
        <v>493</v>
      </c>
      <c r="P18" s="86" t="s">
        <v>256</v>
      </c>
      <c r="Q18" s="14">
        <v>45</v>
      </c>
      <c r="R18" s="14">
        <v>4</v>
      </c>
      <c r="S18" s="90"/>
      <c r="T18" s="90"/>
      <c r="U18" s="14"/>
      <c r="V18" s="14"/>
      <c r="W18" s="14"/>
      <c r="X18" s="86"/>
      <c r="Y18" s="59">
        <f ca="1">Table24[[#This Row],[End Date]]+2-TODAY()</f>
        <v>-38</v>
      </c>
      <c r="Z18" s="14">
        <f>IF(ISBLANK(Table24[[#This Row],[Roster Received By]]),1,0)</f>
        <v>1</v>
      </c>
      <c r="AA18" s="14">
        <f ca="1">IF(Table24[[#This Row],[Start Date]]&gt;TODAY(),1,)</f>
        <v>0</v>
      </c>
    </row>
    <row r="19" spans="1:27" s="93" customFormat="1" ht="16.5" customHeight="1" x14ac:dyDescent="0.25">
      <c r="A19" s="138" t="s">
        <v>494</v>
      </c>
      <c r="B19" s="139" t="s">
        <v>59</v>
      </c>
      <c r="C19" s="141" t="s">
        <v>138</v>
      </c>
      <c r="D19" s="141" t="s">
        <v>139</v>
      </c>
      <c r="E19" s="139"/>
      <c r="F19" s="142">
        <v>45789</v>
      </c>
      <c r="G19" s="142">
        <v>45792</v>
      </c>
      <c r="H19" s="142"/>
      <c r="I19" s="143">
        <v>0.45833333333333331</v>
      </c>
      <c r="J19" s="145"/>
      <c r="K19" s="145"/>
      <c r="L19" s="145"/>
      <c r="M19" s="145"/>
      <c r="N19" s="145"/>
      <c r="O19" s="139" t="s">
        <v>493</v>
      </c>
      <c r="P19" s="139" t="s">
        <v>256</v>
      </c>
      <c r="Q19" s="144">
        <v>45</v>
      </c>
      <c r="R19" s="144">
        <v>4</v>
      </c>
      <c r="S19" s="14"/>
      <c r="T19" s="90"/>
      <c r="U19" s="14"/>
      <c r="V19" s="14"/>
      <c r="W19" s="90"/>
      <c r="X19" s="86"/>
      <c r="Y19" s="59">
        <f ca="1">Table24[[#This Row],[End Date]]+2-TODAY()</f>
        <v>-24</v>
      </c>
      <c r="Z19" s="14">
        <f>IF(ISBLANK(Table24[[#This Row],[Roster Received By]]),1,0)</f>
        <v>1</v>
      </c>
      <c r="AA19" s="14">
        <f ca="1">IF(Table24[[#This Row],[Start Date]]&gt;TODAY(),1,)</f>
        <v>0</v>
      </c>
    </row>
    <row r="20" spans="1:27" s="93" customFormat="1" ht="14.25" customHeight="1" x14ac:dyDescent="0.25">
      <c r="A20" s="146" t="s">
        <v>495</v>
      </c>
      <c r="B20" s="147" t="s">
        <v>59</v>
      </c>
      <c r="C20" s="148" t="s">
        <v>138</v>
      </c>
      <c r="D20" s="148" t="s">
        <v>139</v>
      </c>
      <c r="E20" s="147"/>
      <c r="F20" s="149">
        <v>45804</v>
      </c>
      <c r="G20" s="150">
        <v>45807</v>
      </c>
      <c r="H20" s="150"/>
      <c r="I20" s="151">
        <v>0.33333333333333331</v>
      </c>
      <c r="J20" s="151"/>
      <c r="K20" s="151"/>
      <c r="L20" s="151"/>
      <c r="M20" s="151"/>
      <c r="N20" s="151"/>
      <c r="O20" s="147" t="s">
        <v>493</v>
      </c>
      <c r="P20" s="147" t="s">
        <v>256</v>
      </c>
      <c r="Q20" s="152">
        <v>45</v>
      </c>
      <c r="R20" s="152">
        <v>4</v>
      </c>
      <c r="S20" s="14"/>
      <c r="T20" s="90"/>
      <c r="U20" s="14"/>
      <c r="V20" s="14"/>
      <c r="W20" s="14"/>
      <c r="X20" s="86"/>
      <c r="Y20" s="59">
        <f ca="1">Table24[[#This Row],[End Date]]+2-TODAY()</f>
        <v>-9</v>
      </c>
      <c r="Z20" s="14">
        <f>IF(ISBLANK(Table24[[#This Row],[Roster Received By]]),1,0)</f>
        <v>1</v>
      </c>
      <c r="AA20" s="14">
        <f ca="1">IF(Table24[[#This Row],[Start Date]]&gt;TODAY(),1,)</f>
        <v>0</v>
      </c>
    </row>
    <row r="21" spans="1:27" s="93" customFormat="1" ht="14.25" customHeight="1" x14ac:dyDescent="0.25">
      <c r="A21" s="54"/>
      <c r="B21" s="86" t="s">
        <v>59</v>
      </c>
      <c r="C21" s="87" t="s">
        <v>138</v>
      </c>
      <c r="D21" s="87" t="s">
        <v>139</v>
      </c>
      <c r="E21" s="86"/>
      <c r="F21" s="89">
        <v>45810</v>
      </c>
      <c r="G21" s="89">
        <v>45813</v>
      </c>
      <c r="H21" s="92"/>
      <c r="I21" s="92">
        <v>0.54166666666666663</v>
      </c>
      <c r="J21" s="92"/>
      <c r="K21" s="92"/>
      <c r="L21" s="92"/>
      <c r="M21" s="92"/>
      <c r="N21" s="92"/>
      <c r="O21" s="86" t="s">
        <v>493</v>
      </c>
      <c r="P21" s="86" t="s">
        <v>256</v>
      </c>
      <c r="Q21" s="14">
        <v>45</v>
      </c>
      <c r="R21" s="14">
        <v>4</v>
      </c>
      <c r="S21" s="90"/>
      <c r="T21" s="90"/>
      <c r="U21" s="14"/>
      <c r="V21" s="14"/>
      <c r="W21" s="87"/>
      <c r="X21" s="86"/>
      <c r="Y21" s="59">
        <f ca="1">Table24[[#This Row],[End Date]]+2-TODAY()</f>
        <v>-3</v>
      </c>
      <c r="Z21" s="14">
        <f>IF(ISBLANK(Table24[[#This Row],[Roster Received By]]),1,0)</f>
        <v>1</v>
      </c>
      <c r="AA21" s="14">
        <f ca="1">IF(Table24[[#This Row],[Start Date]]&gt;TODAY(),1,)</f>
        <v>0</v>
      </c>
    </row>
    <row r="22" spans="1:27" s="93" customFormat="1" ht="14.25" customHeight="1" x14ac:dyDescent="0.25">
      <c r="A22" s="86"/>
      <c r="B22" s="86" t="s">
        <v>59</v>
      </c>
      <c r="C22" s="87" t="s">
        <v>138</v>
      </c>
      <c r="D22" s="87" t="s">
        <v>139</v>
      </c>
      <c r="E22" s="86"/>
      <c r="F22" s="89">
        <v>45831</v>
      </c>
      <c r="G22" s="89">
        <v>45834</v>
      </c>
      <c r="H22" s="92"/>
      <c r="I22" s="88">
        <v>0.29166666666666669</v>
      </c>
      <c r="J22" s="92"/>
      <c r="K22" s="92"/>
      <c r="L22" s="92"/>
      <c r="M22" s="92"/>
      <c r="N22" s="92"/>
      <c r="O22" s="86" t="s">
        <v>493</v>
      </c>
      <c r="P22" s="86" t="s">
        <v>256</v>
      </c>
      <c r="Q22" s="14">
        <v>45</v>
      </c>
      <c r="R22" s="14">
        <v>4</v>
      </c>
      <c r="S22" s="90"/>
      <c r="T22" s="90"/>
      <c r="U22" s="14"/>
      <c r="V22" s="14"/>
      <c r="W22" s="90"/>
      <c r="X22" s="86"/>
      <c r="Y22" s="59">
        <f ca="1">Table24[[#This Row],[End Date]]+2-TODAY()</f>
        <v>18</v>
      </c>
      <c r="Z22" s="14">
        <f>IF(ISBLANK(Table24[[#This Row],[Roster Received By]]),1,0)</f>
        <v>1</v>
      </c>
      <c r="AA22" s="14">
        <f ca="1">IF(Table24[[#This Row],[Start Date]]&gt;TODAY(),1,)</f>
        <v>1</v>
      </c>
    </row>
    <row r="23" spans="1:27" s="93" customFormat="1" ht="14.25" customHeight="1" x14ac:dyDescent="0.25">
      <c r="A23" s="52"/>
      <c r="B23" s="86" t="s">
        <v>59</v>
      </c>
      <c r="C23" s="87" t="s">
        <v>138</v>
      </c>
      <c r="D23" s="87" t="s">
        <v>139</v>
      </c>
      <c r="E23" s="86"/>
      <c r="F23" s="89">
        <v>45845</v>
      </c>
      <c r="G23" s="89">
        <v>45848</v>
      </c>
      <c r="H23" s="92"/>
      <c r="I23" s="88">
        <v>0.79166666666666663</v>
      </c>
      <c r="J23" s="92"/>
      <c r="K23" s="92"/>
      <c r="L23" s="92"/>
      <c r="M23" s="92"/>
      <c r="N23" s="92"/>
      <c r="O23" s="86" t="s">
        <v>493</v>
      </c>
      <c r="P23" s="86" t="s">
        <v>256</v>
      </c>
      <c r="Q23" s="14">
        <v>45</v>
      </c>
      <c r="R23" s="14">
        <v>4</v>
      </c>
      <c r="S23" s="14"/>
      <c r="T23" s="90"/>
      <c r="U23" s="14"/>
      <c r="V23" s="14"/>
      <c r="W23" s="14"/>
      <c r="X23" s="86"/>
      <c r="Y23" s="59">
        <f ca="1">Table24[[#This Row],[End Date]]+2-TODAY()</f>
        <v>32</v>
      </c>
      <c r="Z23" s="14">
        <f>IF(ISBLANK(Table24[[#This Row],[Roster Received By]]),1,0)</f>
        <v>1</v>
      </c>
      <c r="AA23" s="14">
        <f ca="1">IF(Table24[[#This Row],[Start Date]]&gt;TODAY(),1,)</f>
        <v>1</v>
      </c>
    </row>
    <row r="24" spans="1:27" s="125" customFormat="1" ht="14.25" customHeight="1" x14ac:dyDescent="0.25">
      <c r="A24" s="138" t="s">
        <v>496</v>
      </c>
      <c r="B24" s="139" t="s">
        <v>59</v>
      </c>
      <c r="C24" s="141" t="s">
        <v>138</v>
      </c>
      <c r="D24" s="141" t="s">
        <v>139</v>
      </c>
      <c r="E24" s="139"/>
      <c r="F24" s="142">
        <v>45859</v>
      </c>
      <c r="G24" s="142">
        <v>45862</v>
      </c>
      <c r="H24" s="145"/>
      <c r="I24" s="145">
        <v>0.33333333333333331</v>
      </c>
      <c r="J24" s="142"/>
      <c r="K24" s="142"/>
      <c r="L24" s="142"/>
      <c r="M24" s="142"/>
      <c r="N24" s="142"/>
      <c r="O24" s="139" t="s">
        <v>493</v>
      </c>
      <c r="P24" s="139" t="s">
        <v>256</v>
      </c>
      <c r="Q24" s="144">
        <v>45</v>
      </c>
      <c r="R24" s="144">
        <v>4</v>
      </c>
      <c r="S24" s="14"/>
      <c r="T24" s="90"/>
      <c r="U24" s="14"/>
      <c r="V24" s="14"/>
      <c r="W24" s="14"/>
      <c r="X24" s="86"/>
      <c r="Y24" s="59">
        <f ca="1">Table24[[#This Row],[End Date]]+2-TODAY()</f>
        <v>46</v>
      </c>
      <c r="Z24" s="14">
        <f>IF(ISBLANK(Table24[[#This Row],[Roster Received By]]),1,0)</f>
        <v>1</v>
      </c>
      <c r="AA24" s="14">
        <f ca="1">IF(Table24[[#This Row],[Start Date]]&gt;TODAY(),1,)</f>
        <v>1</v>
      </c>
    </row>
    <row r="25" spans="1:27" s="93" customFormat="1" ht="16.5" customHeight="1" x14ac:dyDescent="0.25">
      <c r="A25" s="87"/>
      <c r="B25" s="86" t="s">
        <v>59</v>
      </c>
      <c r="C25" s="87" t="s">
        <v>138</v>
      </c>
      <c r="D25" s="87" t="s">
        <v>139</v>
      </c>
      <c r="E25" s="86"/>
      <c r="F25" s="56">
        <v>45873</v>
      </c>
      <c r="G25" s="56">
        <v>45876</v>
      </c>
      <c r="H25" s="56"/>
      <c r="I25" s="88">
        <v>0.45833333333333331</v>
      </c>
      <c r="J25" s="88"/>
      <c r="K25" s="88"/>
      <c r="L25" s="88"/>
      <c r="M25" s="88"/>
      <c r="N25" s="88"/>
      <c r="O25" s="86" t="s">
        <v>493</v>
      </c>
      <c r="P25" s="86" t="s">
        <v>256</v>
      </c>
      <c r="Q25" s="14">
        <v>45</v>
      </c>
      <c r="R25" s="14">
        <v>4</v>
      </c>
      <c r="S25" s="94"/>
      <c r="T25" s="90"/>
      <c r="U25" s="14"/>
      <c r="V25" s="14"/>
      <c r="W25" s="14"/>
      <c r="X25" s="86"/>
      <c r="Y25" s="59">
        <f ca="1">Table24[[#This Row],[End Date]]+2-TODAY()</f>
        <v>60</v>
      </c>
      <c r="Z25" s="14">
        <f>IF(ISBLANK(Table24[[#This Row],[Roster Received By]]),1,0)</f>
        <v>1</v>
      </c>
      <c r="AA25" s="14">
        <f ca="1">IF(Table24[[#This Row],[Start Date]]&gt;TODAY(),1,)</f>
        <v>1</v>
      </c>
    </row>
    <row r="26" spans="1:27" s="93" customFormat="1" ht="16.5" customHeight="1" x14ac:dyDescent="0.25">
      <c r="A26" s="87"/>
      <c r="B26" s="86" t="s">
        <v>59</v>
      </c>
      <c r="C26" s="87" t="s">
        <v>138</v>
      </c>
      <c r="D26" s="87" t="s">
        <v>139</v>
      </c>
      <c r="E26" s="86"/>
      <c r="F26" s="56">
        <v>45880</v>
      </c>
      <c r="G26" s="56">
        <v>45883</v>
      </c>
      <c r="H26" s="56"/>
      <c r="I26" s="88">
        <v>0.54166666666666663</v>
      </c>
      <c r="J26" s="88"/>
      <c r="K26" s="88"/>
      <c r="L26" s="88"/>
      <c r="M26" s="88"/>
      <c r="N26" s="88"/>
      <c r="O26" s="86" t="s">
        <v>493</v>
      </c>
      <c r="P26" s="86" t="s">
        <v>256</v>
      </c>
      <c r="Q26" s="14">
        <v>45</v>
      </c>
      <c r="R26" s="14">
        <v>4</v>
      </c>
      <c r="S26" s="201"/>
      <c r="T26" s="90"/>
      <c r="U26" s="14"/>
      <c r="V26" s="14"/>
      <c r="W26" s="14"/>
      <c r="X26" s="86"/>
      <c r="Y26" s="59">
        <f ca="1">Table24[[#This Row],[End Date]]+2-TODAY()</f>
        <v>67</v>
      </c>
      <c r="Z26" s="14">
        <f>IF(ISBLANK(Table24[[#This Row],[Roster Received By]]),1,0)</f>
        <v>1</v>
      </c>
      <c r="AA26" s="14">
        <f ca="1">IF(Table24[[#This Row],[Start Date]]&gt;TODAY(),1,)</f>
        <v>1</v>
      </c>
    </row>
    <row r="27" spans="1:27" s="93" customFormat="1" ht="16.5" customHeight="1" x14ac:dyDescent="0.25">
      <c r="A27" s="52"/>
      <c r="B27" s="86" t="s">
        <v>59</v>
      </c>
      <c r="C27" s="87" t="s">
        <v>138</v>
      </c>
      <c r="D27" s="87" t="s">
        <v>139</v>
      </c>
      <c r="E27" s="86"/>
      <c r="F27" s="56">
        <v>45887</v>
      </c>
      <c r="G27" s="56">
        <v>45890</v>
      </c>
      <c r="H27" s="56"/>
      <c r="I27" s="88">
        <v>0.41666666666666669</v>
      </c>
      <c r="J27" s="88"/>
      <c r="K27" s="88"/>
      <c r="L27" s="88"/>
      <c r="M27" s="88"/>
      <c r="N27" s="88"/>
      <c r="O27" s="86" t="s">
        <v>493</v>
      </c>
      <c r="P27" s="86" t="s">
        <v>256</v>
      </c>
      <c r="Q27" s="14">
        <v>45</v>
      </c>
      <c r="R27" s="14">
        <v>4</v>
      </c>
      <c r="S27" s="14"/>
      <c r="T27" s="90"/>
      <c r="U27" s="14"/>
      <c r="V27" s="14"/>
      <c r="W27" s="14"/>
      <c r="X27" s="86"/>
      <c r="Y27" s="59">
        <f ca="1">Table24[[#This Row],[End Date]]+2-TODAY()</f>
        <v>74</v>
      </c>
      <c r="Z27" s="14">
        <f>IF(ISBLANK(Table24[[#This Row],[Roster Received By]]),1,0)</f>
        <v>1</v>
      </c>
      <c r="AA27" s="14">
        <f ca="1">IF(Table24[[#This Row],[Start Date]]&gt;TODAY(),1,)</f>
        <v>1</v>
      </c>
    </row>
    <row r="28" spans="1:27" s="93" customFormat="1" ht="14.25" customHeight="1" x14ac:dyDescent="0.25">
      <c r="A28" s="52"/>
      <c r="B28" s="86" t="s">
        <v>59</v>
      </c>
      <c r="C28" s="87" t="s">
        <v>138</v>
      </c>
      <c r="D28" s="87" t="s">
        <v>139</v>
      </c>
      <c r="E28" s="86"/>
      <c r="F28" s="56">
        <v>45902</v>
      </c>
      <c r="G28" s="56">
        <v>45905</v>
      </c>
      <c r="H28" s="56"/>
      <c r="I28" s="88">
        <v>0.33333333333333331</v>
      </c>
      <c r="J28" s="88"/>
      <c r="K28" s="88"/>
      <c r="L28" s="88"/>
      <c r="M28" s="88"/>
      <c r="N28" s="88"/>
      <c r="O28" s="86" t="s">
        <v>493</v>
      </c>
      <c r="P28" s="86" t="s">
        <v>256</v>
      </c>
      <c r="Q28" s="14">
        <v>45</v>
      </c>
      <c r="R28" s="14">
        <v>4</v>
      </c>
      <c r="S28" s="14"/>
      <c r="T28" s="90"/>
      <c r="U28" s="14"/>
      <c r="V28" s="14"/>
      <c r="W28" s="14"/>
      <c r="X28" s="86"/>
      <c r="Y28" s="59">
        <f ca="1">Table24[[#This Row],[End Date]]+2-TODAY()</f>
        <v>89</v>
      </c>
      <c r="Z28" s="14">
        <f>IF(ISBLANK(Table24[[#This Row],[Roster Received By]]),1,0)</f>
        <v>1</v>
      </c>
      <c r="AA28" s="14">
        <f ca="1">IF(Table24[[#This Row],[Start Date]]&gt;TODAY(),1,)</f>
        <v>1</v>
      </c>
    </row>
    <row r="29" spans="1:27" s="93" customFormat="1" ht="14.25" customHeight="1" x14ac:dyDescent="0.25">
      <c r="A29" s="52"/>
      <c r="B29" s="86" t="s">
        <v>59</v>
      </c>
      <c r="C29" s="87" t="s">
        <v>138</v>
      </c>
      <c r="D29" s="87" t="s">
        <v>139</v>
      </c>
      <c r="E29" s="86"/>
      <c r="F29" s="89">
        <v>45915</v>
      </c>
      <c r="G29" s="89">
        <v>45918</v>
      </c>
      <c r="H29" s="89"/>
      <c r="I29" s="88">
        <v>0.54166666666666663</v>
      </c>
      <c r="J29" s="88"/>
      <c r="K29" s="88"/>
      <c r="L29" s="88"/>
      <c r="M29" s="88"/>
      <c r="N29" s="88"/>
      <c r="O29" s="86" t="s">
        <v>493</v>
      </c>
      <c r="P29" s="86" t="s">
        <v>256</v>
      </c>
      <c r="Q29" s="14">
        <v>45</v>
      </c>
      <c r="R29" s="14">
        <v>4</v>
      </c>
      <c r="S29" s="14"/>
      <c r="T29" s="90"/>
      <c r="U29" s="14"/>
      <c r="V29" s="14"/>
      <c r="W29" s="14"/>
      <c r="X29" s="86"/>
      <c r="Y29" s="59">
        <f ca="1">Table24[[#This Row],[End Date]]+2-TODAY()</f>
        <v>102</v>
      </c>
      <c r="Z29" s="14">
        <f>IF(ISBLANK(Table24[[#This Row],[Roster Received By]]),1,0)</f>
        <v>1</v>
      </c>
      <c r="AA29" s="14">
        <f ca="1">IF(Table24[[#This Row],[Start Date]]&gt;TODAY(),1,)</f>
        <v>1</v>
      </c>
    </row>
    <row r="30" spans="1:27" s="93" customFormat="1" ht="14.25" customHeight="1" x14ac:dyDescent="0.25">
      <c r="A30" s="52"/>
      <c r="B30" s="86" t="s">
        <v>59</v>
      </c>
      <c r="C30" s="87" t="s">
        <v>138</v>
      </c>
      <c r="D30" s="87" t="s">
        <v>139</v>
      </c>
      <c r="E30" s="86"/>
      <c r="F30" s="56">
        <v>45929</v>
      </c>
      <c r="G30" s="56">
        <v>45932</v>
      </c>
      <c r="H30" s="56"/>
      <c r="I30" s="88">
        <v>0.33333333333333331</v>
      </c>
      <c r="J30" s="88"/>
      <c r="K30" s="88"/>
      <c r="L30" s="88"/>
      <c r="M30" s="88"/>
      <c r="N30" s="88"/>
      <c r="O30" s="86" t="s">
        <v>493</v>
      </c>
      <c r="P30" s="86" t="s">
        <v>256</v>
      </c>
      <c r="Q30" s="14">
        <v>45</v>
      </c>
      <c r="R30" s="14">
        <v>4</v>
      </c>
      <c r="S30" s="14"/>
      <c r="T30" s="90"/>
      <c r="U30" s="14"/>
      <c r="V30" s="14"/>
      <c r="W30" s="87"/>
      <c r="X30" s="86"/>
      <c r="Y30" s="59">
        <f ca="1">Table24[[#This Row],[End Date]]+2-TODAY()</f>
        <v>116</v>
      </c>
      <c r="Z30" s="14">
        <f>IF(ISBLANK(Table24[[#This Row],[Roster Received By]]),1,0)</f>
        <v>1</v>
      </c>
      <c r="AA30" s="14">
        <f ca="1">IF(Table24[[#This Row],[Start Date]]&gt;TODAY(),1,)</f>
        <v>1</v>
      </c>
    </row>
    <row r="31" spans="1:27" s="93" customFormat="1" ht="16.5" customHeight="1" x14ac:dyDescent="0.25">
      <c r="A31" s="52"/>
      <c r="B31" s="86" t="s">
        <v>61</v>
      </c>
      <c r="C31" s="87" t="s">
        <v>142</v>
      </c>
      <c r="D31" s="87">
        <v>1228</v>
      </c>
      <c r="E31" s="86"/>
      <c r="F31" s="56">
        <v>45566</v>
      </c>
      <c r="G31" s="56">
        <v>45569</v>
      </c>
      <c r="H31" s="56"/>
      <c r="I31" s="95">
        <v>0.41666666666666669</v>
      </c>
      <c r="J31" s="88"/>
      <c r="K31" s="88"/>
      <c r="L31" s="88"/>
      <c r="M31" s="88"/>
      <c r="N31" s="88"/>
      <c r="O31" s="86" t="s">
        <v>256</v>
      </c>
      <c r="P31" s="86" t="s">
        <v>493</v>
      </c>
      <c r="Q31" s="14">
        <v>45</v>
      </c>
      <c r="R31" s="199">
        <v>5</v>
      </c>
      <c r="S31" s="14"/>
      <c r="T31" s="90"/>
      <c r="U31" s="14"/>
      <c r="V31" s="14"/>
      <c r="W31" s="14"/>
      <c r="X31" s="86"/>
      <c r="Y31" s="59">
        <f ca="1">Table24[[#This Row],[End Date]]+2-TODAY()</f>
        <v>-247</v>
      </c>
      <c r="Z31" s="14">
        <f>IF(ISBLANK(Table24[[#This Row],[Roster Received By]]),1,0)</f>
        <v>1</v>
      </c>
      <c r="AA31" s="14">
        <f ca="1">IF(Table24[[#This Row],[Start Date]]&gt;TODAY(),1,)</f>
        <v>0</v>
      </c>
    </row>
    <row r="32" spans="1:27" s="93" customFormat="1" ht="16.5" customHeight="1" x14ac:dyDescent="0.25">
      <c r="A32" s="52"/>
      <c r="B32" s="86" t="s">
        <v>61</v>
      </c>
      <c r="C32" s="87" t="s">
        <v>142</v>
      </c>
      <c r="D32" s="87">
        <v>1228</v>
      </c>
      <c r="E32" s="54"/>
      <c r="F32" s="89">
        <v>45580</v>
      </c>
      <c r="G32" s="89">
        <v>45583</v>
      </c>
      <c r="H32" s="92"/>
      <c r="I32" s="88">
        <v>1300.5416666666667</v>
      </c>
      <c r="J32" s="89"/>
      <c r="K32" s="89"/>
      <c r="L32" s="89"/>
      <c r="M32" s="89"/>
      <c r="N32" s="89"/>
      <c r="O32" s="86" t="s">
        <v>256</v>
      </c>
      <c r="P32" s="86" t="s">
        <v>493</v>
      </c>
      <c r="Q32" s="14">
        <v>45</v>
      </c>
      <c r="R32" s="199">
        <v>5</v>
      </c>
      <c r="S32" s="14"/>
      <c r="T32" s="90"/>
      <c r="U32" s="14"/>
      <c r="V32" s="14"/>
      <c r="W32" s="14"/>
      <c r="X32" s="86"/>
      <c r="Y32" s="59">
        <f ca="1">Table24[[#This Row],[End Date]]+2-TODAY()</f>
        <v>-233</v>
      </c>
      <c r="Z32" s="14">
        <f>IF(ISBLANK(Table24[[#This Row],[Roster Received By]]),1,0)</f>
        <v>1</v>
      </c>
      <c r="AA32" s="14">
        <f ca="1">IF(Table24[[#This Row],[Start Date]]&gt;TODAY(),1,)</f>
        <v>0</v>
      </c>
    </row>
    <row r="33" spans="1:27" s="93" customFormat="1" ht="14.25" customHeight="1" x14ac:dyDescent="0.25">
      <c r="A33" s="52"/>
      <c r="B33" s="86" t="s">
        <v>61</v>
      </c>
      <c r="C33" s="87" t="s">
        <v>142</v>
      </c>
      <c r="D33" s="87">
        <v>1228</v>
      </c>
      <c r="E33" s="86"/>
      <c r="F33" s="97">
        <v>45593</v>
      </c>
      <c r="G33" s="97">
        <v>45596</v>
      </c>
      <c r="H33" s="95"/>
      <c r="I33" s="92">
        <v>800.33333333333337</v>
      </c>
      <c r="J33" s="89"/>
      <c r="K33" s="89"/>
      <c r="L33" s="89"/>
      <c r="M33" s="89"/>
      <c r="N33" s="89"/>
      <c r="O33" s="86" t="s">
        <v>256</v>
      </c>
      <c r="P33" s="86" t="s">
        <v>493</v>
      </c>
      <c r="Q33" s="14">
        <v>45</v>
      </c>
      <c r="R33" s="199">
        <v>5</v>
      </c>
      <c r="S33" s="90"/>
      <c r="T33" s="90"/>
      <c r="U33" s="14"/>
      <c r="V33" s="14"/>
      <c r="W33" s="14"/>
      <c r="X33" s="86"/>
      <c r="Y33" s="59">
        <f ca="1">Table24[[#This Row],[End Date]]+2-TODAY()</f>
        <v>-220</v>
      </c>
      <c r="Z33" s="14">
        <f>IF(ISBLANK(Table24[[#This Row],[Roster Received By]]),1,0)</f>
        <v>1</v>
      </c>
      <c r="AA33" s="14">
        <f ca="1">IF(Table24[[#This Row],[Start Date]]&gt;TODAY(),1,)</f>
        <v>0</v>
      </c>
    </row>
    <row r="34" spans="1:27" s="93" customFormat="1" ht="14.25" customHeight="1" x14ac:dyDescent="0.25">
      <c r="A34" s="52"/>
      <c r="B34" s="86" t="s">
        <v>61</v>
      </c>
      <c r="C34" s="87" t="s">
        <v>142</v>
      </c>
      <c r="D34" s="87">
        <v>1228</v>
      </c>
      <c r="E34" s="86"/>
      <c r="F34" s="89">
        <v>45600</v>
      </c>
      <c r="G34" s="89">
        <v>45603</v>
      </c>
      <c r="H34" s="92"/>
      <c r="I34" s="88">
        <v>1000.4166666666666</v>
      </c>
      <c r="J34" s="92"/>
      <c r="K34" s="92"/>
      <c r="L34" s="92"/>
      <c r="M34" s="92"/>
      <c r="N34" s="92"/>
      <c r="O34" s="86" t="s">
        <v>256</v>
      </c>
      <c r="P34" s="86" t="s">
        <v>493</v>
      </c>
      <c r="Q34" s="14">
        <v>45</v>
      </c>
      <c r="R34" s="199">
        <v>5</v>
      </c>
      <c r="S34" s="14"/>
      <c r="T34" s="90"/>
      <c r="U34" s="14"/>
      <c r="V34" s="14"/>
      <c r="W34" s="14"/>
      <c r="X34" s="86"/>
      <c r="Y34" s="59">
        <f ca="1">Table24[[#This Row],[End Date]]+2-TODAY()</f>
        <v>-213</v>
      </c>
      <c r="Z34" s="14">
        <f>IF(ISBLANK(Table24[[#This Row],[Roster Received By]]),1,0)</f>
        <v>1</v>
      </c>
      <c r="AA34" s="14">
        <f ca="1">IF(Table24[[#This Row],[Start Date]]&gt;TODAY(),1,)</f>
        <v>0</v>
      </c>
    </row>
    <row r="35" spans="1:27" s="93" customFormat="1" ht="14.25" customHeight="1" x14ac:dyDescent="0.25">
      <c r="A35" s="52"/>
      <c r="B35" s="86" t="s">
        <v>61</v>
      </c>
      <c r="C35" s="87" t="s">
        <v>142</v>
      </c>
      <c r="D35" s="87">
        <v>1228</v>
      </c>
      <c r="E35" s="86"/>
      <c r="F35" s="89">
        <v>45979</v>
      </c>
      <c r="G35" s="89">
        <v>45982</v>
      </c>
      <c r="H35" s="92"/>
      <c r="I35" s="95">
        <v>700.29166666666663</v>
      </c>
      <c r="J35" s="92"/>
      <c r="K35" s="92"/>
      <c r="L35" s="92"/>
      <c r="M35" s="92"/>
      <c r="N35" s="92"/>
      <c r="O35" s="86" t="s">
        <v>256</v>
      </c>
      <c r="P35" s="86" t="s">
        <v>493</v>
      </c>
      <c r="Q35" s="14">
        <v>45</v>
      </c>
      <c r="R35" s="199">
        <v>5</v>
      </c>
      <c r="S35" s="90"/>
      <c r="T35" s="90"/>
      <c r="U35" s="14"/>
      <c r="V35" s="14"/>
      <c r="W35" s="14"/>
      <c r="X35" s="86"/>
      <c r="Y35" s="59">
        <f ca="1">Table24[[#This Row],[End Date]]+2-TODAY()</f>
        <v>166</v>
      </c>
      <c r="Z35" s="14">
        <f>IF(ISBLANK(Table24[[#This Row],[Roster Received By]]),1,0)</f>
        <v>1</v>
      </c>
      <c r="AA35" s="14">
        <f ca="1">IF(Table24[[#This Row],[Start Date]]&gt;TODAY(),1,)</f>
        <v>1</v>
      </c>
    </row>
    <row r="36" spans="1:27" s="93" customFormat="1" ht="14.25" customHeight="1" x14ac:dyDescent="0.25">
      <c r="A36" s="52"/>
      <c r="B36" s="86" t="s">
        <v>61</v>
      </c>
      <c r="C36" s="87" t="s">
        <v>142</v>
      </c>
      <c r="D36" s="87">
        <v>1228</v>
      </c>
      <c r="E36" s="86"/>
      <c r="F36" s="89">
        <v>46000</v>
      </c>
      <c r="G36" s="89">
        <v>46003</v>
      </c>
      <c r="H36" s="92"/>
      <c r="I36" s="88">
        <v>0.33333333333333331</v>
      </c>
      <c r="J36" s="89"/>
      <c r="K36" s="89"/>
      <c r="L36" s="89"/>
      <c r="M36" s="89"/>
      <c r="N36" s="89"/>
      <c r="O36" s="86" t="s">
        <v>256</v>
      </c>
      <c r="P36" s="86" t="s">
        <v>493</v>
      </c>
      <c r="Q36" s="14">
        <v>45</v>
      </c>
      <c r="R36" s="199">
        <v>5</v>
      </c>
      <c r="S36" s="14"/>
      <c r="T36" s="90"/>
      <c r="U36" s="14"/>
      <c r="V36" s="14"/>
      <c r="W36" s="14"/>
      <c r="X36" s="86"/>
      <c r="Y36" s="59">
        <f ca="1">Table24[[#This Row],[End Date]]+2-TODAY()</f>
        <v>187</v>
      </c>
      <c r="Z36" s="14">
        <f>IF(ISBLANK(Table24[[#This Row],[Roster Received By]]),1,0)</f>
        <v>1</v>
      </c>
      <c r="AA36" s="14">
        <f ca="1">IF(Table24[[#This Row],[Start Date]]&gt;TODAY(),1,)</f>
        <v>1</v>
      </c>
    </row>
    <row r="37" spans="1:27" s="126" customFormat="1" ht="14.25" customHeight="1" x14ac:dyDescent="0.25">
      <c r="A37" s="52"/>
      <c r="B37" s="86" t="s">
        <v>61</v>
      </c>
      <c r="C37" s="87" t="s">
        <v>142</v>
      </c>
      <c r="D37" s="87" t="s">
        <v>147</v>
      </c>
      <c r="E37" s="86"/>
      <c r="F37" s="89">
        <v>45684</v>
      </c>
      <c r="G37" s="89">
        <v>45321</v>
      </c>
      <c r="H37" s="89"/>
      <c r="I37" s="88">
        <v>1300.5416666666667</v>
      </c>
      <c r="J37" s="88"/>
      <c r="K37" s="88"/>
      <c r="L37" s="88"/>
      <c r="M37" s="88"/>
      <c r="N37" s="88"/>
      <c r="O37" s="86" t="s">
        <v>256</v>
      </c>
      <c r="P37" s="86" t="s">
        <v>493</v>
      </c>
      <c r="Q37" s="14">
        <v>45</v>
      </c>
      <c r="R37" s="199">
        <v>5</v>
      </c>
      <c r="S37" s="14"/>
      <c r="T37" s="90"/>
      <c r="U37" s="14"/>
      <c r="V37" s="14"/>
      <c r="W37" s="14"/>
      <c r="X37" s="86"/>
      <c r="Y37" s="59">
        <f ca="1">Table24[[#This Row],[End Date]]+2-TODAY()</f>
        <v>-495</v>
      </c>
      <c r="Z37" s="14">
        <f>IF(ISBLANK(Table24[[#This Row],[Roster Received By]]),1,0)</f>
        <v>1</v>
      </c>
      <c r="AA37" s="14">
        <f ca="1">IF(Table24[[#This Row],[Start Date]]&gt;TODAY(),1,)</f>
        <v>0</v>
      </c>
    </row>
    <row r="38" spans="1:27" s="122" customFormat="1" ht="14.25" customHeight="1" x14ac:dyDescent="0.25">
      <c r="A38" s="52"/>
      <c r="B38" s="86" t="s">
        <v>61</v>
      </c>
      <c r="C38" s="87" t="s">
        <v>142</v>
      </c>
      <c r="D38" s="87">
        <v>1228</v>
      </c>
      <c r="E38" s="86"/>
      <c r="F38" s="89">
        <v>45698</v>
      </c>
      <c r="G38" s="89">
        <v>45701</v>
      </c>
      <c r="H38" s="89"/>
      <c r="I38" s="88">
        <v>800.33333333333337</v>
      </c>
      <c r="J38" s="88"/>
      <c r="K38" s="88"/>
      <c r="L38" s="88"/>
      <c r="M38" s="88"/>
      <c r="N38" s="88"/>
      <c r="O38" s="86" t="s">
        <v>256</v>
      </c>
      <c r="P38" s="86" t="s">
        <v>493</v>
      </c>
      <c r="Q38" s="14">
        <v>45</v>
      </c>
      <c r="R38" s="199">
        <v>5</v>
      </c>
      <c r="S38" s="14"/>
      <c r="T38" s="90"/>
      <c r="U38" s="14"/>
      <c r="V38" s="14"/>
      <c r="W38" s="90"/>
      <c r="X38" s="86"/>
      <c r="Y38" s="59">
        <f ca="1">Table24[[#This Row],[End Date]]+2-TODAY()</f>
        <v>-115</v>
      </c>
      <c r="Z38" s="14">
        <f>IF(ISBLANK(Table24[[#This Row],[Roster Received By]]),1,0)</f>
        <v>1</v>
      </c>
      <c r="AA38" s="14">
        <f ca="1">IF(Table24[[#This Row],[Start Date]]&gt;TODAY(),1,)</f>
        <v>0</v>
      </c>
    </row>
    <row r="39" spans="1:27" s="122" customFormat="1" ht="14.25" customHeight="1" x14ac:dyDescent="0.25">
      <c r="A39" s="52"/>
      <c r="B39" s="86" t="s">
        <v>61</v>
      </c>
      <c r="C39" s="87" t="s">
        <v>142</v>
      </c>
      <c r="D39" s="87" t="s">
        <v>149</v>
      </c>
      <c r="E39" s="54"/>
      <c r="F39" s="89">
        <v>45712</v>
      </c>
      <c r="G39" s="89">
        <v>45715</v>
      </c>
      <c r="H39" s="95"/>
      <c r="I39" s="88">
        <v>1900.7916666666667</v>
      </c>
      <c r="J39" s="89"/>
      <c r="K39" s="89"/>
      <c r="L39" s="89"/>
      <c r="M39" s="89"/>
      <c r="N39" s="89"/>
      <c r="O39" s="86" t="s">
        <v>256</v>
      </c>
      <c r="P39" s="86" t="s">
        <v>493</v>
      </c>
      <c r="Q39" s="14">
        <v>45</v>
      </c>
      <c r="R39" s="199">
        <v>5</v>
      </c>
      <c r="S39" s="14"/>
      <c r="T39" s="90"/>
      <c r="U39" s="14"/>
      <c r="V39" s="14"/>
      <c r="W39" s="90"/>
      <c r="X39" s="86"/>
      <c r="Y39" s="59">
        <f ca="1">Table24[[#This Row],[End Date]]+2-TODAY()</f>
        <v>-101</v>
      </c>
      <c r="Z39" s="14">
        <f>IF(ISBLANK(Table24[[#This Row],[Roster Received By]]),1,0)</f>
        <v>1</v>
      </c>
      <c r="AA39" s="14">
        <f ca="1">IF(Table24[[#This Row],[Start Date]]&gt;TODAY(),1,)</f>
        <v>0</v>
      </c>
    </row>
    <row r="40" spans="1:27" s="93" customFormat="1" ht="14.25" customHeight="1" x14ac:dyDescent="0.25">
      <c r="A40" s="52"/>
      <c r="B40" s="86" t="s">
        <v>61</v>
      </c>
      <c r="C40" s="87" t="s">
        <v>142</v>
      </c>
      <c r="D40" s="87">
        <v>1228</v>
      </c>
      <c r="E40" s="86"/>
      <c r="F40" s="89">
        <v>45726</v>
      </c>
      <c r="G40" s="89">
        <v>45729</v>
      </c>
      <c r="H40" s="89"/>
      <c r="I40" s="88">
        <v>700.29166666666663</v>
      </c>
      <c r="J40" s="88"/>
      <c r="K40" s="88"/>
      <c r="L40" s="88"/>
      <c r="M40" s="88"/>
      <c r="N40" s="88"/>
      <c r="O40" s="86" t="s">
        <v>256</v>
      </c>
      <c r="P40" s="86" t="s">
        <v>493</v>
      </c>
      <c r="Q40" s="14">
        <v>45</v>
      </c>
      <c r="R40" s="199">
        <v>5</v>
      </c>
      <c r="S40" s="14"/>
      <c r="T40" s="90"/>
      <c r="U40" s="14"/>
      <c r="V40" s="14"/>
      <c r="W40" s="14"/>
      <c r="X40" s="86"/>
      <c r="Y40" s="59">
        <f ca="1">Table24[[#This Row],[End Date]]+2-TODAY()</f>
        <v>-87</v>
      </c>
      <c r="Z40" s="14">
        <f>IF(ISBLANK(Table24[[#This Row],[Roster Received By]]),1,0)</f>
        <v>1</v>
      </c>
      <c r="AA40" s="14">
        <f ca="1">IF(Table24[[#This Row],[Start Date]]&gt;TODAY(),1,)</f>
        <v>0</v>
      </c>
    </row>
    <row r="41" spans="1:27" s="93" customFormat="1" ht="14.25" customHeight="1" x14ac:dyDescent="0.25">
      <c r="A41" s="52"/>
      <c r="B41" s="86" t="s">
        <v>61</v>
      </c>
      <c r="C41" s="87" t="s">
        <v>142</v>
      </c>
      <c r="D41" s="87">
        <v>1228</v>
      </c>
      <c r="E41" s="86"/>
      <c r="F41" s="89">
        <v>45740</v>
      </c>
      <c r="G41" s="89">
        <v>45743</v>
      </c>
      <c r="H41" s="89"/>
      <c r="I41" s="88">
        <v>0.33333333333333331</v>
      </c>
      <c r="J41" s="88"/>
      <c r="K41" s="88"/>
      <c r="L41" s="88"/>
      <c r="M41" s="88"/>
      <c r="N41" s="88"/>
      <c r="O41" s="86" t="s">
        <v>256</v>
      </c>
      <c r="P41" s="86" t="s">
        <v>493</v>
      </c>
      <c r="Q41" s="14">
        <v>45</v>
      </c>
      <c r="R41" s="199">
        <v>5</v>
      </c>
      <c r="S41" s="14"/>
      <c r="T41" s="90"/>
      <c r="U41" s="14"/>
      <c r="V41" s="14"/>
      <c r="W41" s="14"/>
      <c r="X41" s="86"/>
      <c r="Y41" s="59">
        <f ca="1">Table24[[#This Row],[End Date]]+2-TODAY()</f>
        <v>-73</v>
      </c>
      <c r="Z41" s="14">
        <f>IF(ISBLANK(Table24[[#This Row],[Roster Received By]]),1,0)</f>
        <v>1</v>
      </c>
      <c r="AA41" s="14">
        <f ca="1">IF(Table24[[#This Row],[Start Date]]&gt;TODAY(),1,)</f>
        <v>0</v>
      </c>
    </row>
    <row r="42" spans="1:27" s="93" customFormat="1" ht="14.25" customHeight="1" x14ac:dyDescent="0.25">
      <c r="A42" s="52"/>
      <c r="B42" s="86" t="s">
        <v>61</v>
      </c>
      <c r="C42" s="87" t="s">
        <v>142</v>
      </c>
      <c r="D42" s="87">
        <v>1228</v>
      </c>
      <c r="E42" s="86"/>
      <c r="F42" s="89">
        <v>45754</v>
      </c>
      <c r="G42" s="89">
        <v>45757</v>
      </c>
      <c r="H42" s="95"/>
      <c r="I42" s="92">
        <v>1100.4583333333333</v>
      </c>
      <c r="J42" s="89"/>
      <c r="K42" s="89"/>
      <c r="L42" s="89"/>
      <c r="M42" s="89"/>
      <c r="N42" s="89"/>
      <c r="O42" s="86" t="s">
        <v>256</v>
      </c>
      <c r="P42" s="86" t="s">
        <v>493</v>
      </c>
      <c r="Q42" s="14">
        <v>45</v>
      </c>
      <c r="R42" s="199">
        <v>5</v>
      </c>
      <c r="S42" s="14"/>
      <c r="T42" s="90"/>
      <c r="U42" s="14"/>
      <c r="V42" s="14"/>
      <c r="W42" s="14"/>
      <c r="X42" s="86"/>
      <c r="Y42" s="59">
        <f ca="1">Table24[[#This Row],[End Date]]+2-TODAY()</f>
        <v>-59</v>
      </c>
      <c r="Z42" s="14">
        <f>IF(ISBLANK(Table24[[#This Row],[Roster Received By]]),1,0)</f>
        <v>1</v>
      </c>
      <c r="AA42" s="14">
        <f ca="1">IF(Table24[[#This Row],[Start Date]]&gt;TODAY(),1,)</f>
        <v>0</v>
      </c>
    </row>
    <row r="43" spans="1:27" s="93" customFormat="1" ht="14.25" customHeight="1" x14ac:dyDescent="0.25">
      <c r="A43" s="86"/>
      <c r="B43" s="86" t="s">
        <v>61</v>
      </c>
      <c r="C43" s="87" t="s">
        <v>142</v>
      </c>
      <c r="D43" s="87">
        <v>1228</v>
      </c>
      <c r="E43" s="86"/>
      <c r="F43" s="89">
        <v>45775</v>
      </c>
      <c r="G43" s="89">
        <v>45778</v>
      </c>
      <c r="H43" s="89"/>
      <c r="I43" s="88">
        <v>0.33333333333333331</v>
      </c>
      <c r="J43" s="88"/>
      <c r="K43" s="88"/>
      <c r="L43" s="88"/>
      <c r="M43" s="88"/>
      <c r="N43" s="88"/>
      <c r="O43" s="86" t="s">
        <v>256</v>
      </c>
      <c r="P43" s="86" t="s">
        <v>493</v>
      </c>
      <c r="Q43" s="14">
        <v>45</v>
      </c>
      <c r="R43" s="199">
        <v>5</v>
      </c>
      <c r="S43" s="14"/>
      <c r="T43" s="90"/>
      <c r="U43" s="14"/>
      <c r="V43" s="14"/>
      <c r="W43" s="14"/>
      <c r="X43" s="86"/>
      <c r="Y43" s="59">
        <f ca="1">Table24[[#This Row],[End Date]]+2-TODAY()</f>
        <v>-38</v>
      </c>
      <c r="Z43" s="14">
        <f>IF(ISBLANK(Table24[[#This Row],[Roster Received By]]),1,0)</f>
        <v>1</v>
      </c>
      <c r="AA43" s="14">
        <f ca="1">IF(Table24[[#This Row],[Start Date]]&gt;TODAY(),1,)</f>
        <v>0</v>
      </c>
    </row>
    <row r="44" spans="1:27" s="93" customFormat="1" ht="16.5" customHeight="1" x14ac:dyDescent="0.25">
      <c r="A44" s="54"/>
      <c r="B44" s="86" t="s">
        <v>61</v>
      </c>
      <c r="C44" s="87" t="s">
        <v>142</v>
      </c>
      <c r="D44" s="87">
        <v>1228</v>
      </c>
      <c r="E44" s="86"/>
      <c r="F44" s="89">
        <v>45782</v>
      </c>
      <c r="G44" s="89">
        <v>45785</v>
      </c>
      <c r="H44" s="92"/>
      <c r="I44" s="88">
        <v>0.33333333333333331</v>
      </c>
      <c r="J44" s="92"/>
      <c r="K44" s="92"/>
      <c r="L44" s="92"/>
      <c r="M44" s="92"/>
      <c r="N44" s="92"/>
      <c r="O44" s="86" t="s">
        <v>256</v>
      </c>
      <c r="P44" s="86" t="s">
        <v>493</v>
      </c>
      <c r="Q44" s="14">
        <v>45</v>
      </c>
      <c r="R44" s="199">
        <v>5</v>
      </c>
      <c r="S44" s="90"/>
      <c r="T44" s="90"/>
      <c r="U44" s="14"/>
      <c r="V44" s="14"/>
      <c r="W44" s="14"/>
      <c r="X44" s="86"/>
      <c r="Y44" s="59">
        <f ca="1">Table24[[#This Row],[End Date]]+2-TODAY()</f>
        <v>-31</v>
      </c>
      <c r="Z44" s="14">
        <f>IF(ISBLANK(Table24[[#This Row],[Roster Received By]]),1,0)</f>
        <v>1</v>
      </c>
      <c r="AA44" s="14">
        <f ca="1">IF(Table24[[#This Row],[Start Date]]&gt;TODAY(),1,)</f>
        <v>0</v>
      </c>
    </row>
    <row r="45" spans="1:27" s="93" customFormat="1" ht="14.25" customHeight="1" x14ac:dyDescent="0.25">
      <c r="A45" s="52"/>
      <c r="B45" s="86" t="s">
        <v>61</v>
      </c>
      <c r="C45" s="87" t="s">
        <v>142</v>
      </c>
      <c r="D45" s="87">
        <v>1228</v>
      </c>
      <c r="E45" s="86"/>
      <c r="F45" s="89">
        <v>45796</v>
      </c>
      <c r="G45" s="89">
        <v>45799</v>
      </c>
      <c r="H45" s="89"/>
      <c r="I45" s="92">
        <v>0.54166666666666663</v>
      </c>
      <c r="J45" s="88"/>
      <c r="K45" s="88"/>
      <c r="L45" s="88"/>
      <c r="M45" s="88"/>
      <c r="N45" s="88"/>
      <c r="O45" s="86" t="s">
        <v>256</v>
      </c>
      <c r="P45" s="86" t="s">
        <v>493</v>
      </c>
      <c r="Q45" s="14">
        <v>45</v>
      </c>
      <c r="R45" s="199">
        <v>5</v>
      </c>
      <c r="S45" s="14"/>
      <c r="T45" s="90"/>
      <c r="U45" s="14"/>
      <c r="V45" s="14"/>
      <c r="W45" s="14"/>
      <c r="X45" s="86"/>
      <c r="Y45" s="59">
        <f ca="1">Table24[[#This Row],[End Date]]+2-TODAY()</f>
        <v>-17</v>
      </c>
      <c r="Z45" s="14">
        <f>IF(ISBLANK(Table24[[#This Row],[Roster Received By]]),1,0)</f>
        <v>1</v>
      </c>
      <c r="AA45" s="14">
        <f ca="1">IF(Table24[[#This Row],[Start Date]]&gt;TODAY(),1,)</f>
        <v>0</v>
      </c>
    </row>
    <row r="46" spans="1:27" s="93" customFormat="1" ht="16.5" customHeight="1" x14ac:dyDescent="0.25">
      <c r="A46" s="86"/>
      <c r="B46" s="86" t="s">
        <v>61</v>
      </c>
      <c r="C46" s="87" t="s">
        <v>142</v>
      </c>
      <c r="D46" s="87">
        <v>1228</v>
      </c>
      <c r="E46" s="86"/>
      <c r="F46" s="89">
        <v>45817</v>
      </c>
      <c r="G46" s="89">
        <v>45820</v>
      </c>
      <c r="H46" s="89"/>
      <c r="I46" s="88">
        <v>0.29166666666666669</v>
      </c>
      <c r="J46" s="88"/>
      <c r="K46" s="88"/>
      <c r="L46" s="88"/>
      <c r="M46" s="88"/>
      <c r="N46" s="88"/>
      <c r="O46" s="86" t="s">
        <v>256</v>
      </c>
      <c r="P46" s="86" t="s">
        <v>493</v>
      </c>
      <c r="Q46" s="14">
        <v>45</v>
      </c>
      <c r="R46" s="199">
        <v>5</v>
      </c>
      <c r="S46" s="14"/>
      <c r="T46" s="90"/>
      <c r="U46" s="14"/>
      <c r="V46" s="14"/>
      <c r="W46" s="14"/>
      <c r="X46" s="86"/>
      <c r="Y46" s="59">
        <f ca="1">Table24[[#This Row],[End Date]]+2-TODAY()</f>
        <v>4</v>
      </c>
      <c r="Z46" s="14">
        <f>IF(ISBLANK(Table24[[#This Row],[Roster Received By]]),1,0)</f>
        <v>1</v>
      </c>
      <c r="AA46" s="14">
        <f ca="1">IF(Table24[[#This Row],[Start Date]]&gt;TODAY(),1,)</f>
        <v>0</v>
      </c>
    </row>
    <row r="47" spans="1:27" s="122" customFormat="1" ht="14.25" customHeight="1" x14ac:dyDescent="0.25">
      <c r="A47" s="52"/>
      <c r="B47" s="86" t="s">
        <v>61</v>
      </c>
      <c r="C47" s="87" t="s">
        <v>142</v>
      </c>
      <c r="D47" s="87">
        <v>1228</v>
      </c>
      <c r="E47" s="86"/>
      <c r="F47" s="89">
        <v>45831</v>
      </c>
      <c r="G47" s="89">
        <v>45834</v>
      </c>
      <c r="H47" s="89"/>
      <c r="I47" s="88">
        <v>0.79166666666666663</v>
      </c>
      <c r="J47" s="88"/>
      <c r="K47" s="88"/>
      <c r="L47" s="88"/>
      <c r="M47" s="88"/>
      <c r="N47" s="88"/>
      <c r="O47" s="86" t="s">
        <v>256</v>
      </c>
      <c r="P47" s="86" t="s">
        <v>493</v>
      </c>
      <c r="Q47" s="14">
        <v>45</v>
      </c>
      <c r="R47" s="199">
        <v>5</v>
      </c>
      <c r="S47" s="14"/>
      <c r="T47" s="90"/>
      <c r="U47" s="14"/>
      <c r="V47" s="14"/>
      <c r="W47" s="87"/>
      <c r="X47" s="86"/>
      <c r="Y47" s="59">
        <f ca="1">Table24[[#This Row],[End Date]]+2-TODAY()</f>
        <v>18</v>
      </c>
      <c r="Z47" s="14">
        <f>IF(ISBLANK(Table24[[#This Row],[Roster Received By]]),1,0)</f>
        <v>1</v>
      </c>
      <c r="AA47" s="14">
        <f ca="1">IF(Table24[[#This Row],[Start Date]]&gt;TODAY(),1,)</f>
        <v>1</v>
      </c>
    </row>
    <row r="48" spans="1:27" s="93" customFormat="1" ht="14.25" customHeight="1" x14ac:dyDescent="0.25">
      <c r="A48" s="86"/>
      <c r="B48" s="86" t="s">
        <v>61</v>
      </c>
      <c r="C48" s="87" t="s">
        <v>142</v>
      </c>
      <c r="D48" s="87">
        <v>1228</v>
      </c>
      <c r="E48" s="86"/>
      <c r="F48" s="89">
        <v>45852</v>
      </c>
      <c r="G48" s="89">
        <v>45855</v>
      </c>
      <c r="H48" s="92"/>
      <c r="I48" s="88">
        <v>0.33333333333333331</v>
      </c>
      <c r="J48" s="88"/>
      <c r="K48" s="88"/>
      <c r="L48" s="88"/>
      <c r="M48" s="88"/>
      <c r="N48" s="88"/>
      <c r="O48" s="86" t="s">
        <v>256</v>
      </c>
      <c r="P48" s="86" t="s">
        <v>493</v>
      </c>
      <c r="Q48" s="14">
        <v>45</v>
      </c>
      <c r="R48" s="199">
        <v>5</v>
      </c>
      <c r="S48" s="90"/>
      <c r="T48" s="90"/>
      <c r="U48" s="14"/>
      <c r="V48" s="14"/>
      <c r="W48" s="14"/>
      <c r="X48" s="86"/>
      <c r="Y48" s="59">
        <f ca="1">Table24[[#This Row],[End Date]]+2-TODAY()</f>
        <v>39</v>
      </c>
      <c r="Z48" s="14">
        <f>IF(ISBLANK(Table24[[#This Row],[Roster Received By]]),1,0)</f>
        <v>1</v>
      </c>
      <c r="AA48" s="14">
        <f ca="1">IF(Table24[[#This Row],[Start Date]]&gt;TODAY(),1,)</f>
        <v>1</v>
      </c>
    </row>
    <row r="49" spans="1:27" s="93" customFormat="1" ht="14.25" customHeight="1" x14ac:dyDescent="0.25">
      <c r="A49" s="52"/>
      <c r="B49" s="86" t="s">
        <v>61</v>
      </c>
      <c r="C49" s="87" t="s">
        <v>142</v>
      </c>
      <c r="D49" s="87">
        <v>1228</v>
      </c>
      <c r="E49" s="86"/>
      <c r="F49" s="89">
        <v>45866</v>
      </c>
      <c r="G49" s="89">
        <v>45869</v>
      </c>
      <c r="H49" s="89"/>
      <c r="I49" s="88">
        <v>0.45833333333333331</v>
      </c>
      <c r="J49" s="88"/>
      <c r="K49" s="88"/>
      <c r="L49" s="88"/>
      <c r="M49" s="88"/>
      <c r="N49" s="88"/>
      <c r="O49" s="86" t="s">
        <v>256</v>
      </c>
      <c r="P49" s="86" t="s">
        <v>493</v>
      </c>
      <c r="Q49" s="14">
        <v>45</v>
      </c>
      <c r="R49" s="199">
        <v>5</v>
      </c>
      <c r="S49" s="14"/>
      <c r="T49" s="90"/>
      <c r="U49" s="14"/>
      <c r="V49" s="14"/>
      <c r="W49" s="14"/>
      <c r="X49" s="86"/>
      <c r="Y49" s="59">
        <f ca="1">Table24[[#This Row],[End Date]]+2-TODAY()</f>
        <v>53</v>
      </c>
      <c r="Z49" s="14">
        <f>IF(ISBLANK(Table24[[#This Row],[Roster Received By]]),1,0)</f>
        <v>1</v>
      </c>
      <c r="AA49" s="14">
        <f ca="1">IF(Table24[[#This Row],[Start Date]]&gt;TODAY(),1,)</f>
        <v>1</v>
      </c>
    </row>
    <row r="50" spans="1:27" s="93" customFormat="1" ht="14.25" customHeight="1" x14ac:dyDescent="0.25">
      <c r="A50" s="52"/>
      <c r="B50" s="86" t="s">
        <v>61</v>
      </c>
      <c r="C50" s="87" t="s">
        <v>142</v>
      </c>
      <c r="D50" s="87">
        <v>1228</v>
      </c>
      <c r="E50" s="86"/>
      <c r="F50" s="89">
        <v>45880</v>
      </c>
      <c r="G50" s="89">
        <v>45883</v>
      </c>
      <c r="H50" s="92"/>
      <c r="I50" s="92">
        <v>1100.4166666666667</v>
      </c>
      <c r="J50" s="89"/>
      <c r="K50" s="89"/>
      <c r="L50" s="89"/>
      <c r="M50" s="89"/>
      <c r="N50" s="89"/>
      <c r="O50" s="86" t="s">
        <v>256</v>
      </c>
      <c r="P50" s="86" t="s">
        <v>493</v>
      </c>
      <c r="Q50" s="90">
        <v>45</v>
      </c>
      <c r="R50" s="199">
        <v>5</v>
      </c>
      <c r="S50" s="90"/>
      <c r="T50" s="90"/>
      <c r="U50" s="14"/>
      <c r="V50" s="14"/>
      <c r="W50" s="14"/>
      <c r="X50" s="86"/>
      <c r="Y50" s="59">
        <f ca="1">Table24[[#This Row],[End Date]]+2-TODAY()</f>
        <v>67</v>
      </c>
      <c r="Z50" s="14">
        <f>IF(ISBLANK(Table24[[#This Row],[Roster Received By]]),1,0)</f>
        <v>1</v>
      </c>
      <c r="AA50" s="14">
        <f ca="1">IF(Table24[[#This Row],[Start Date]]&gt;TODAY(),1,)</f>
        <v>1</v>
      </c>
    </row>
    <row r="51" spans="1:27" s="93" customFormat="1" ht="14.25" customHeight="1" x14ac:dyDescent="0.25">
      <c r="A51" s="52"/>
      <c r="B51" s="86" t="s">
        <v>61</v>
      </c>
      <c r="C51" s="87" t="s">
        <v>142</v>
      </c>
      <c r="D51" s="87">
        <v>1228</v>
      </c>
      <c r="E51" s="86"/>
      <c r="F51" s="89">
        <v>45894</v>
      </c>
      <c r="G51" s="89">
        <v>45897</v>
      </c>
      <c r="H51" s="92"/>
      <c r="I51" s="92">
        <v>1000.3333333333334</v>
      </c>
      <c r="J51" s="89"/>
      <c r="K51" s="89"/>
      <c r="L51" s="89"/>
      <c r="M51" s="89"/>
      <c r="N51" s="89"/>
      <c r="O51" s="86" t="s">
        <v>256</v>
      </c>
      <c r="P51" s="86" t="s">
        <v>493</v>
      </c>
      <c r="Q51" s="90">
        <v>45</v>
      </c>
      <c r="R51" s="199">
        <v>5</v>
      </c>
      <c r="S51" s="90"/>
      <c r="T51" s="90"/>
      <c r="U51" s="14"/>
      <c r="V51" s="14"/>
      <c r="W51" s="14"/>
      <c r="X51" s="86"/>
      <c r="Y51" s="59">
        <f ca="1">Table24[[#This Row],[End Date]]+2-TODAY()</f>
        <v>81</v>
      </c>
      <c r="Z51" s="14">
        <f>IF(ISBLANK(Table24[[#This Row],[Roster Received By]]),1,0)</f>
        <v>1</v>
      </c>
      <c r="AA51" s="14">
        <f ca="1">IF(Table24[[#This Row],[Start Date]]&gt;TODAY(),1,)</f>
        <v>1</v>
      </c>
    </row>
    <row r="52" spans="1:27" s="93" customFormat="1" ht="14.25" customHeight="1" x14ac:dyDescent="0.25">
      <c r="A52" s="52"/>
      <c r="B52" s="86" t="s">
        <v>61</v>
      </c>
      <c r="C52" s="87" t="s">
        <v>142</v>
      </c>
      <c r="D52" s="87">
        <v>1228</v>
      </c>
      <c r="E52" s="86"/>
      <c r="F52" s="89">
        <v>45908</v>
      </c>
      <c r="G52" s="89">
        <v>45911</v>
      </c>
      <c r="H52" s="92"/>
      <c r="I52" s="92">
        <v>800.54166666666663</v>
      </c>
      <c r="J52" s="89"/>
      <c r="K52" s="89"/>
      <c r="L52" s="89"/>
      <c r="M52" s="89"/>
      <c r="N52" s="89"/>
      <c r="O52" s="86" t="s">
        <v>256</v>
      </c>
      <c r="P52" s="86" t="s">
        <v>493</v>
      </c>
      <c r="Q52" s="90">
        <v>45</v>
      </c>
      <c r="R52" s="199">
        <v>5</v>
      </c>
      <c r="S52" s="90"/>
      <c r="T52" s="90"/>
      <c r="U52" s="14"/>
      <c r="V52" s="14"/>
      <c r="W52" s="14"/>
      <c r="X52" s="86"/>
      <c r="Y52" s="59">
        <f ca="1">Table24[[#This Row],[End Date]]+2-TODAY()</f>
        <v>95</v>
      </c>
      <c r="Z52" s="14">
        <f>IF(ISBLANK(Table24[[#This Row],[Roster Received By]]),1,0)</f>
        <v>1</v>
      </c>
      <c r="AA52" s="14">
        <f ca="1">IF(Table24[[#This Row],[Start Date]]&gt;TODAY(),1,)</f>
        <v>1</v>
      </c>
    </row>
    <row r="53" spans="1:27" s="93" customFormat="1" ht="14.25" customHeight="1" x14ac:dyDescent="0.25">
      <c r="A53" s="52"/>
      <c r="B53" s="86" t="s">
        <v>61</v>
      </c>
      <c r="C53" s="87" t="s">
        <v>142</v>
      </c>
      <c r="D53" s="87">
        <v>1228</v>
      </c>
      <c r="E53" s="86"/>
      <c r="F53" s="89">
        <v>45922</v>
      </c>
      <c r="G53" s="89">
        <v>45925</v>
      </c>
      <c r="H53" s="89"/>
      <c r="I53" s="88">
        <v>0.29166666666666669</v>
      </c>
      <c r="J53" s="88"/>
      <c r="K53" s="88"/>
      <c r="L53" s="88"/>
      <c r="M53" s="88"/>
      <c r="N53" s="88"/>
      <c r="O53" s="86" t="s">
        <v>256</v>
      </c>
      <c r="P53" s="86" t="s">
        <v>493</v>
      </c>
      <c r="Q53" s="14">
        <v>45</v>
      </c>
      <c r="R53" s="199">
        <v>5</v>
      </c>
      <c r="S53" s="14"/>
      <c r="T53" s="90"/>
      <c r="U53" s="14"/>
      <c r="V53" s="14"/>
      <c r="W53" s="14"/>
      <c r="X53" s="86"/>
      <c r="Y53" s="59">
        <f ca="1">Table24[[#This Row],[End Date]]+2-TODAY()</f>
        <v>109</v>
      </c>
      <c r="Z53" s="14">
        <f>IF(ISBLANK(Table24[[#This Row],[Roster Received By]]),1,0)</f>
        <v>1</v>
      </c>
      <c r="AA53" s="14">
        <f ca="1">IF(Table24[[#This Row],[Start Date]]&gt;TODAY(),1,)</f>
        <v>1</v>
      </c>
    </row>
    <row r="54" spans="1:27" s="93" customFormat="1" ht="14.25" customHeight="1" x14ac:dyDescent="0.25">
      <c r="A54" s="52"/>
      <c r="B54" s="86" t="s">
        <v>38</v>
      </c>
      <c r="C54" s="87" t="s">
        <v>118</v>
      </c>
      <c r="D54" s="87" t="s">
        <v>119</v>
      </c>
      <c r="E54" s="86"/>
      <c r="F54" s="89">
        <v>45586</v>
      </c>
      <c r="G54" s="89">
        <v>45590</v>
      </c>
      <c r="H54" s="92"/>
      <c r="I54" s="88">
        <v>0.33333333333333331</v>
      </c>
      <c r="J54" s="89"/>
      <c r="K54" s="89"/>
      <c r="L54" s="89"/>
      <c r="M54" s="89"/>
      <c r="N54" s="89"/>
      <c r="O54" s="86" t="s">
        <v>274</v>
      </c>
      <c r="P54" s="86" t="s">
        <v>277</v>
      </c>
      <c r="Q54" s="14">
        <v>45</v>
      </c>
      <c r="R54" s="199">
        <v>5</v>
      </c>
      <c r="S54" s="14"/>
      <c r="T54" s="90"/>
      <c r="U54" s="14"/>
      <c r="V54" s="14"/>
      <c r="W54" s="14"/>
      <c r="X54" s="86"/>
      <c r="Y54" s="59">
        <f ca="1">Table24[[#This Row],[End Date]]+2-TODAY()</f>
        <v>-226</v>
      </c>
      <c r="Z54" s="14">
        <f>IF(ISBLANK(Table24[[#This Row],[Roster Received By]]),1,0)</f>
        <v>1</v>
      </c>
      <c r="AA54" s="14">
        <f ca="1">IF(Table24[[#This Row],[Start Date]]&gt;TODAY(),1,)</f>
        <v>0</v>
      </c>
    </row>
    <row r="55" spans="1:27" s="93" customFormat="1" ht="14.25" customHeight="1" x14ac:dyDescent="0.25">
      <c r="A55" s="52"/>
      <c r="B55" s="86" t="s">
        <v>38</v>
      </c>
      <c r="C55" s="87" t="s">
        <v>118</v>
      </c>
      <c r="D55" s="87" t="s">
        <v>119</v>
      </c>
      <c r="E55" s="86"/>
      <c r="F55" s="89">
        <v>45600</v>
      </c>
      <c r="G55" s="89">
        <v>45604</v>
      </c>
      <c r="H55" s="92"/>
      <c r="I55" s="92">
        <v>0.54166666666666663</v>
      </c>
      <c r="J55" s="92"/>
      <c r="K55" s="92"/>
      <c r="L55" s="92"/>
      <c r="M55" s="92"/>
      <c r="N55" s="92"/>
      <c r="O55" s="86" t="s">
        <v>274</v>
      </c>
      <c r="P55" s="86" t="s">
        <v>277</v>
      </c>
      <c r="Q55" s="14">
        <v>45</v>
      </c>
      <c r="R55" s="199">
        <v>5</v>
      </c>
      <c r="S55" s="14"/>
      <c r="T55" s="90"/>
      <c r="U55" s="14"/>
      <c r="V55" s="14"/>
      <c r="W55" s="14"/>
      <c r="X55" s="86"/>
      <c r="Y55" s="59">
        <f ca="1">Table24[[#This Row],[End Date]]+2-TODAY()</f>
        <v>-212</v>
      </c>
      <c r="Z55" s="14">
        <f>IF(ISBLANK(Table24[[#This Row],[Roster Received By]]),1,0)</f>
        <v>1</v>
      </c>
      <c r="AA55" s="14">
        <f ca="1">IF(Table24[[#This Row],[Start Date]]&gt;TODAY(),1,)</f>
        <v>0</v>
      </c>
    </row>
    <row r="56" spans="1:27" s="93" customFormat="1" ht="14.25" customHeight="1" x14ac:dyDescent="0.25">
      <c r="A56" s="86"/>
      <c r="B56" s="86" t="s">
        <v>38</v>
      </c>
      <c r="C56" s="87" t="s">
        <v>118</v>
      </c>
      <c r="D56" s="87" t="s">
        <v>119</v>
      </c>
      <c r="E56" s="86"/>
      <c r="F56" s="89">
        <v>45627</v>
      </c>
      <c r="G56" s="89">
        <v>45632</v>
      </c>
      <c r="H56" s="92"/>
      <c r="I56" s="88">
        <v>0.29166666666666669</v>
      </c>
      <c r="J56" s="92"/>
      <c r="K56" s="92"/>
      <c r="L56" s="92"/>
      <c r="M56" s="92"/>
      <c r="N56" s="92"/>
      <c r="O56" s="86" t="s">
        <v>274</v>
      </c>
      <c r="P56" s="86" t="s">
        <v>277</v>
      </c>
      <c r="Q56" s="14">
        <v>45</v>
      </c>
      <c r="R56" s="199">
        <v>5</v>
      </c>
      <c r="S56" s="14"/>
      <c r="T56" s="90"/>
      <c r="U56" s="14"/>
      <c r="V56" s="14"/>
      <c r="W56" s="14"/>
      <c r="X56" s="86"/>
      <c r="Y56" s="59">
        <f ca="1">Table24[[#This Row],[End Date]]+2-TODAY()</f>
        <v>-184</v>
      </c>
      <c r="Z56" s="14">
        <f>IF(ISBLANK(Table24[[#This Row],[Roster Received By]]),1,0)</f>
        <v>1</v>
      </c>
      <c r="AA56" s="14">
        <f ca="1">IF(Table24[[#This Row],[Start Date]]&gt;TODAY(),1,)</f>
        <v>0</v>
      </c>
    </row>
    <row r="57" spans="1:27" s="93" customFormat="1" ht="14.25" customHeight="1" x14ac:dyDescent="0.25">
      <c r="A57" s="86"/>
      <c r="B57" s="86" t="s">
        <v>38</v>
      </c>
      <c r="C57" s="87" t="s">
        <v>118</v>
      </c>
      <c r="D57" s="87" t="s">
        <v>119</v>
      </c>
      <c r="E57" s="86"/>
      <c r="F57" s="89">
        <v>45670</v>
      </c>
      <c r="G57" s="89">
        <v>45674</v>
      </c>
      <c r="H57" s="95"/>
      <c r="I57" s="88">
        <v>0.79166666666666663</v>
      </c>
      <c r="J57" s="89"/>
      <c r="K57" s="89"/>
      <c r="L57" s="89"/>
      <c r="M57" s="89"/>
      <c r="N57" s="89"/>
      <c r="O57" s="86" t="s">
        <v>274</v>
      </c>
      <c r="P57" s="86" t="s">
        <v>277</v>
      </c>
      <c r="Q57" s="14">
        <v>45</v>
      </c>
      <c r="R57" s="199">
        <v>5</v>
      </c>
      <c r="S57" s="14"/>
      <c r="T57" s="90"/>
      <c r="U57" s="14"/>
      <c r="V57" s="14"/>
      <c r="W57" s="14"/>
      <c r="X57" s="86"/>
      <c r="Y57" s="59">
        <f ca="1">Table24[[#This Row],[End Date]]+2-TODAY()</f>
        <v>-142</v>
      </c>
      <c r="Z57" s="14">
        <f>IF(ISBLANK(Table24[[#This Row],[Roster Received By]]),1,0)</f>
        <v>1</v>
      </c>
      <c r="AA57" s="14">
        <f ca="1">IF(Table24[[#This Row],[Start Date]]&gt;TODAY(),1,)</f>
        <v>0</v>
      </c>
    </row>
    <row r="58" spans="1:27" s="93" customFormat="1" ht="14.25" customHeight="1" x14ac:dyDescent="0.25">
      <c r="A58" s="52"/>
      <c r="B58" s="86" t="s">
        <v>38</v>
      </c>
      <c r="C58" s="87" t="s">
        <v>118</v>
      </c>
      <c r="D58" s="87" t="s">
        <v>119</v>
      </c>
      <c r="E58" s="54"/>
      <c r="F58" s="56">
        <v>45698</v>
      </c>
      <c r="G58" s="89">
        <v>45702</v>
      </c>
      <c r="H58" s="92"/>
      <c r="I58" s="92">
        <v>0.33333333333333331</v>
      </c>
      <c r="J58" s="89"/>
      <c r="K58" s="89"/>
      <c r="L58" s="89"/>
      <c r="M58" s="89"/>
      <c r="N58" s="89"/>
      <c r="O58" s="86" t="s">
        <v>274</v>
      </c>
      <c r="P58" s="86" t="s">
        <v>277</v>
      </c>
      <c r="Q58" s="14">
        <v>45</v>
      </c>
      <c r="R58" s="199">
        <v>5</v>
      </c>
      <c r="S58" s="14"/>
      <c r="T58" s="90"/>
      <c r="U58" s="14"/>
      <c r="V58" s="14"/>
      <c r="W58" s="14"/>
      <c r="X58" s="86"/>
      <c r="Y58" s="59">
        <f ca="1">Table24[[#This Row],[End Date]]+2-TODAY()</f>
        <v>-114</v>
      </c>
      <c r="Z58" s="14">
        <f>IF(ISBLANK(Table24[[#This Row],[Roster Received By]]),1,0)</f>
        <v>1</v>
      </c>
      <c r="AA58" s="14">
        <f ca="1">IF(Table24[[#This Row],[Start Date]]&gt;TODAY(),1,)</f>
        <v>0</v>
      </c>
    </row>
    <row r="59" spans="1:27" s="93" customFormat="1" ht="14.25" customHeight="1" x14ac:dyDescent="0.25">
      <c r="A59" s="52"/>
      <c r="B59" s="86" t="s">
        <v>38</v>
      </c>
      <c r="C59" s="87" t="s">
        <v>118</v>
      </c>
      <c r="D59" s="87" t="s">
        <v>119</v>
      </c>
      <c r="E59" s="86"/>
      <c r="F59" s="89">
        <v>45719</v>
      </c>
      <c r="G59" s="89">
        <v>45723</v>
      </c>
      <c r="H59" s="89"/>
      <c r="I59" s="88">
        <v>0.45833333333333331</v>
      </c>
      <c r="J59" s="88"/>
      <c r="K59" s="88"/>
      <c r="L59" s="88"/>
      <c r="M59" s="88"/>
      <c r="N59" s="88"/>
      <c r="O59" s="86" t="s">
        <v>274</v>
      </c>
      <c r="P59" s="86" t="s">
        <v>277</v>
      </c>
      <c r="Q59" s="14">
        <v>45</v>
      </c>
      <c r="R59" s="199">
        <v>5</v>
      </c>
      <c r="S59" s="14"/>
      <c r="T59" s="90"/>
      <c r="U59" s="14"/>
      <c r="V59" s="14"/>
      <c r="W59" s="14"/>
      <c r="X59" s="86"/>
      <c r="Y59" s="59">
        <f ca="1">Table24[[#This Row],[End Date]]+2-TODAY()</f>
        <v>-93</v>
      </c>
      <c r="Z59" s="14">
        <f>IF(ISBLANK(Table24[[#This Row],[Roster Received By]]),1,0)</f>
        <v>1</v>
      </c>
      <c r="AA59" s="14">
        <f ca="1">IF(Table24[[#This Row],[Start Date]]&gt;TODAY(),1,)</f>
        <v>0</v>
      </c>
    </row>
    <row r="60" spans="1:27" s="93" customFormat="1" ht="14.25" customHeight="1" x14ac:dyDescent="0.25">
      <c r="A60" s="52"/>
      <c r="B60" s="86" t="s">
        <v>38</v>
      </c>
      <c r="C60" s="87" t="s">
        <v>118</v>
      </c>
      <c r="D60" s="87" t="s">
        <v>119</v>
      </c>
      <c r="E60" s="86"/>
      <c r="F60" s="89">
        <v>45782</v>
      </c>
      <c r="G60" s="89">
        <v>45786</v>
      </c>
      <c r="H60" s="89"/>
      <c r="I60" s="88">
        <v>0.41666666666666669</v>
      </c>
      <c r="J60" s="88"/>
      <c r="K60" s="88"/>
      <c r="L60" s="88"/>
      <c r="M60" s="88"/>
      <c r="N60" s="88"/>
      <c r="O60" s="86" t="s">
        <v>274</v>
      </c>
      <c r="P60" s="86" t="s">
        <v>277</v>
      </c>
      <c r="Q60" s="14">
        <v>45</v>
      </c>
      <c r="R60" s="199">
        <v>5</v>
      </c>
      <c r="S60" s="14"/>
      <c r="T60" s="90"/>
      <c r="U60" s="14"/>
      <c r="V60" s="14"/>
      <c r="W60" s="14"/>
      <c r="X60" s="86"/>
      <c r="Y60" s="59">
        <f ca="1">Table24[[#This Row],[End Date]]+2-TODAY()</f>
        <v>-30</v>
      </c>
      <c r="Z60" s="14">
        <f>IF(ISBLANK(Table24[[#This Row],[Roster Received By]]),1,0)</f>
        <v>1</v>
      </c>
      <c r="AA60" s="14">
        <f ca="1">IF(Table24[[#This Row],[Start Date]]&gt;TODAY(),1,)</f>
        <v>0</v>
      </c>
    </row>
    <row r="61" spans="1:27" s="93" customFormat="1" ht="14.25" customHeight="1" x14ac:dyDescent="0.25">
      <c r="A61" s="52"/>
      <c r="B61" s="86" t="s">
        <v>38</v>
      </c>
      <c r="C61" s="87" t="s">
        <v>118</v>
      </c>
      <c r="D61" s="87" t="s">
        <v>119</v>
      </c>
      <c r="E61" s="86"/>
      <c r="F61" s="89">
        <v>45817</v>
      </c>
      <c r="G61" s="89">
        <v>45821</v>
      </c>
      <c r="H61" s="89"/>
      <c r="I61" s="88">
        <v>0.33333333333333331</v>
      </c>
      <c r="J61" s="88"/>
      <c r="K61" s="88"/>
      <c r="L61" s="88"/>
      <c r="M61" s="88"/>
      <c r="N61" s="88"/>
      <c r="O61" s="86" t="s">
        <v>274</v>
      </c>
      <c r="P61" s="86" t="s">
        <v>277</v>
      </c>
      <c r="Q61" s="14">
        <v>45</v>
      </c>
      <c r="R61" s="199">
        <v>5</v>
      </c>
      <c r="S61" s="14"/>
      <c r="T61" s="90"/>
      <c r="U61" s="14"/>
      <c r="V61" s="14"/>
      <c r="W61" s="14"/>
      <c r="X61" s="86"/>
      <c r="Y61" s="59">
        <f ca="1">Table24[[#This Row],[End Date]]+2-TODAY()</f>
        <v>5</v>
      </c>
      <c r="Z61" s="14">
        <f>IF(ISBLANK(Table24[[#This Row],[Roster Received By]]),1,0)</f>
        <v>1</v>
      </c>
      <c r="AA61" s="14">
        <f ca="1">IF(Table24[[#This Row],[Start Date]]&gt;TODAY(),1,)</f>
        <v>0</v>
      </c>
    </row>
    <row r="62" spans="1:27" s="93" customFormat="1" ht="14.25" customHeight="1" x14ac:dyDescent="0.25">
      <c r="A62" s="52"/>
      <c r="B62" s="86" t="s">
        <v>38</v>
      </c>
      <c r="C62" s="87" t="s">
        <v>118</v>
      </c>
      <c r="D62" s="87" t="s">
        <v>119</v>
      </c>
      <c r="E62" s="86"/>
      <c r="F62" s="89">
        <v>45852</v>
      </c>
      <c r="G62" s="89">
        <v>45856</v>
      </c>
      <c r="H62" s="89"/>
      <c r="I62" s="88">
        <v>0.54166666666666663</v>
      </c>
      <c r="J62" s="88"/>
      <c r="K62" s="88"/>
      <c r="L62" s="88"/>
      <c r="M62" s="88"/>
      <c r="N62" s="88"/>
      <c r="O62" s="86" t="s">
        <v>274</v>
      </c>
      <c r="P62" s="86" t="s">
        <v>277</v>
      </c>
      <c r="Q62" s="14">
        <v>45</v>
      </c>
      <c r="R62" s="199">
        <v>5</v>
      </c>
      <c r="S62" s="14"/>
      <c r="T62" s="90"/>
      <c r="U62" s="14"/>
      <c r="V62" s="14"/>
      <c r="W62" s="14"/>
      <c r="X62" s="86"/>
      <c r="Y62" s="59">
        <f ca="1">Table24[[#This Row],[End Date]]+2-TODAY()</f>
        <v>40</v>
      </c>
      <c r="Z62" s="14">
        <f>IF(ISBLANK(Table24[[#This Row],[Roster Received By]]),1,0)</f>
        <v>1</v>
      </c>
      <c r="AA62" s="14">
        <f ca="1">IF(Table24[[#This Row],[Start Date]]&gt;TODAY(),1,)</f>
        <v>1</v>
      </c>
    </row>
    <row r="63" spans="1:27" s="93" customFormat="1" ht="14.25" customHeight="1" x14ac:dyDescent="0.25">
      <c r="A63" s="52"/>
      <c r="B63" s="86" t="s">
        <v>38</v>
      </c>
      <c r="C63" s="87" t="s">
        <v>118</v>
      </c>
      <c r="D63" s="87" t="s">
        <v>119</v>
      </c>
      <c r="E63" s="86"/>
      <c r="F63" s="89">
        <v>45880</v>
      </c>
      <c r="G63" s="89">
        <v>45884</v>
      </c>
      <c r="H63" s="95"/>
      <c r="I63" s="88">
        <v>0.33333333333333331</v>
      </c>
      <c r="J63" s="89"/>
      <c r="K63" s="89"/>
      <c r="L63" s="89"/>
      <c r="M63" s="89"/>
      <c r="N63" s="89"/>
      <c r="O63" s="86" t="s">
        <v>274</v>
      </c>
      <c r="P63" s="86" t="s">
        <v>277</v>
      </c>
      <c r="Q63" s="14">
        <v>45</v>
      </c>
      <c r="R63" s="199">
        <v>5</v>
      </c>
      <c r="S63" s="14"/>
      <c r="T63" s="90"/>
      <c r="U63" s="14"/>
      <c r="V63" s="14"/>
      <c r="W63" s="94"/>
      <c r="X63" s="86"/>
      <c r="Y63" s="59">
        <f ca="1">Table24[[#This Row],[End Date]]+2-TODAY()</f>
        <v>68</v>
      </c>
      <c r="Z63" s="14">
        <f>IF(ISBLANK(Table24[[#This Row],[Roster Received By]]),1,0)</f>
        <v>1</v>
      </c>
      <c r="AA63" s="14">
        <f ca="1">IF(Table24[[#This Row],[Start Date]]&gt;TODAY(),1,)</f>
        <v>1</v>
      </c>
    </row>
    <row r="64" spans="1:27" s="93" customFormat="1" ht="16.5" customHeight="1" x14ac:dyDescent="0.25">
      <c r="A64" s="52"/>
      <c r="B64" s="86" t="s">
        <v>38</v>
      </c>
      <c r="C64" s="87" t="s">
        <v>118</v>
      </c>
      <c r="D64" s="87" t="s">
        <v>119</v>
      </c>
      <c r="E64" s="86"/>
      <c r="F64" s="89">
        <v>45915</v>
      </c>
      <c r="G64" s="89">
        <v>45919</v>
      </c>
      <c r="H64" s="89"/>
      <c r="I64" s="88">
        <v>0.33333333333333331</v>
      </c>
      <c r="J64" s="88"/>
      <c r="K64" s="88"/>
      <c r="L64" s="88"/>
      <c r="M64" s="88"/>
      <c r="N64" s="88"/>
      <c r="O64" s="86" t="s">
        <v>274</v>
      </c>
      <c r="P64" s="86" t="s">
        <v>277</v>
      </c>
      <c r="Q64" s="14">
        <v>45</v>
      </c>
      <c r="R64" s="199">
        <v>5</v>
      </c>
      <c r="S64" s="14"/>
      <c r="T64" s="90"/>
      <c r="U64" s="14"/>
      <c r="V64" s="14"/>
      <c r="W64" s="14"/>
      <c r="X64" s="86"/>
      <c r="Y64" s="59">
        <f ca="1">Table24[[#This Row],[End Date]]+2-TODAY()</f>
        <v>103</v>
      </c>
      <c r="Z64" s="14">
        <f>IF(ISBLANK(Table24[[#This Row],[Roster Received By]]),1,0)</f>
        <v>1</v>
      </c>
      <c r="AA64" s="14">
        <f ca="1">IF(Table24[[#This Row],[Start Date]]&gt;TODAY(),1,)</f>
        <v>1</v>
      </c>
    </row>
    <row r="65" spans="1:27" s="93" customFormat="1" ht="14.25" customHeight="1" x14ac:dyDescent="0.25">
      <c r="A65" s="52"/>
      <c r="B65" s="86" t="s">
        <v>57</v>
      </c>
      <c r="C65" s="87" t="s">
        <v>114</v>
      </c>
      <c r="D65" s="87" t="s">
        <v>115</v>
      </c>
      <c r="E65" s="127"/>
      <c r="F65" s="89">
        <v>45615</v>
      </c>
      <c r="G65" s="89">
        <v>45617</v>
      </c>
      <c r="H65" s="89"/>
      <c r="I65" s="88">
        <v>0.33333333333333331</v>
      </c>
      <c r="J65" s="88"/>
      <c r="K65" s="88"/>
      <c r="L65" s="88"/>
      <c r="M65" s="88"/>
      <c r="N65" s="88"/>
      <c r="O65" s="86" t="s">
        <v>277</v>
      </c>
      <c r="P65" s="86" t="s">
        <v>274</v>
      </c>
      <c r="Q65" s="14">
        <v>45</v>
      </c>
      <c r="R65" s="14">
        <v>3</v>
      </c>
      <c r="S65" s="14"/>
      <c r="T65" s="90"/>
      <c r="U65" s="14"/>
      <c r="V65" s="14"/>
      <c r="W65" s="14"/>
      <c r="X65" s="86"/>
      <c r="Y65" s="59">
        <f ca="1">Table24[[#This Row],[End Date]]+2-TODAY()</f>
        <v>-199</v>
      </c>
      <c r="Z65" s="14">
        <f>IF(ISBLANK(Table24[[#This Row],[Roster Received By]]),1,0)</f>
        <v>1</v>
      </c>
      <c r="AA65" s="14">
        <f ca="1">IF(Table24[[#This Row],[Start Date]]&gt;TODAY(),1,)</f>
        <v>0</v>
      </c>
    </row>
    <row r="66" spans="1:27" s="93" customFormat="1" ht="14.25" customHeight="1" x14ac:dyDescent="0.25">
      <c r="A66" s="52"/>
      <c r="B66" s="86" t="s">
        <v>57</v>
      </c>
      <c r="C66" s="87" t="s">
        <v>114</v>
      </c>
      <c r="D66" s="87" t="s">
        <v>115</v>
      </c>
      <c r="E66" s="54"/>
      <c r="F66" s="89">
        <v>45629</v>
      </c>
      <c r="G66" s="89">
        <v>45631</v>
      </c>
      <c r="H66" s="92"/>
      <c r="I66" s="88">
        <v>0.33333333333333331</v>
      </c>
      <c r="J66" s="89"/>
      <c r="K66" s="89"/>
      <c r="L66" s="89"/>
      <c r="M66" s="89"/>
      <c r="N66" s="89"/>
      <c r="O66" s="86" t="s">
        <v>277</v>
      </c>
      <c r="P66" s="86" t="s">
        <v>274</v>
      </c>
      <c r="Q66" s="14">
        <v>45</v>
      </c>
      <c r="R66" s="14">
        <v>3</v>
      </c>
      <c r="S66" s="14"/>
      <c r="T66" s="90"/>
      <c r="U66" s="14"/>
      <c r="V66" s="14"/>
      <c r="W66" s="14"/>
      <c r="X66" s="86"/>
      <c r="Y66" s="59">
        <f ca="1">Table24[[#This Row],[End Date]]+2-TODAY()</f>
        <v>-185</v>
      </c>
      <c r="Z66" s="14">
        <f>IF(ISBLANK(Table24[[#This Row],[Roster Received By]]),1,0)</f>
        <v>1</v>
      </c>
      <c r="AA66" s="14">
        <f ca="1">IF(Table24[[#This Row],[Start Date]]&gt;TODAY(),1,)</f>
        <v>0</v>
      </c>
    </row>
    <row r="67" spans="1:27" s="93" customFormat="1" ht="14.25" customHeight="1" x14ac:dyDescent="0.25">
      <c r="A67" s="52"/>
      <c r="B67" s="86" t="s">
        <v>57</v>
      </c>
      <c r="C67" s="87" t="s">
        <v>114</v>
      </c>
      <c r="D67" s="87" t="s">
        <v>115</v>
      </c>
      <c r="E67" s="54"/>
      <c r="F67" s="89">
        <v>45671</v>
      </c>
      <c r="G67" s="89">
        <v>45673</v>
      </c>
      <c r="H67" s="92"/>
      <c r="I67" s="92">
        <v>0.54166666666666663</v>
      </c>
      <c r="J67" s="89"/>
      <c r="K67" s="89"/>
      <c r="L67" s="89"/>
      <c r="M67" s="89"/>
      <c r="N67" s="89"/>
      <c r="O67" s="86" t="s">
        <v>277</v>
      </c>
      <c r="P67" s="86" t="s">
        <v>274</v>
      </c>
      <c r="Q67" s="14">
        <v>45</v>
      </c>
      <c r="R67" s="14">
        <v>3</v>
      </c>
      <c r="S67" s="14"/>
      <c r="T67" s="90"/>
      <c r="U67" s="14"/>
      <c r="V67" s="14"/>
      <c r="W67" s="14"/>
      <c r="X67" s="86"/>
      <c r="Y67" s="59">
        <f ca="1">Table24[[#This Row],[End Date]]+2-TODAY()</f>
        <v>-143</v>
      </c>
      <c r="Z67" s="14">
        <f>IF(ISBLANK(Table24[[#This Row],[Roster Received By]]),1,0)</f>
        <v>1</v>
      </c>
      <c r="AA67" s="14">
        <f ca="1">IF(Table24[[#This Row],[Start Date]]&gt;TODAY(),1,)</f>
        <v>0</v>
      </c>
    </row>
    <row r="68" spans="1:27" s="93" customFormat="1" ht="14.25" customHeight="1" x14ac:dyDescent="0.25">
      <c r="A68" s="52"/>
      <c r="B68" s="86" t="s">
        <v>57</v>
      </c>
      <c r="C68" s="87" t="s">
        <v>114</v>
      </c>
      <c r="D68" s="87" t="s">
        <v>115</v>
      </c>
      <c r="E68" s="86"/>
      <c r="F68" s="89">
        <v>45685</v>
      </c>
      <c r="G68" s="89">
        <v>45687</v>
      </c>
      <c r="H68" s="92"/>
      <c r="I68" s="92">
        <v>1000.4166666666666</v>
      </c>
      <c r="J68" s="89"/>
      <c r="K68" s="89"/>
      <c r="L68" s="89"/>
      <c r="M68" s="89"/>
      <c r="N68" s="89"/>
      <c r="O68" s="86" t="s">
        <v>277</v>
      </c>
      <c r="P68" s="86" t="s">
        <v>274</v>
      </c>
      <c r="Q68" s="14">
        <v>45</v>
      </c>
      <c r="R68" s="14">
        <v>3</v>
      </c>
      <c r="S68" s="90"/>
      <c r="T68" s="90"/>
      <c r="U68" s="14"/>
      <c r="V68" s="14"/>
      <c r="W68" s="14"/>
      <c r="X68" s="86"/>
      <c r="Y68" s="59">
        <f ca="1">Table24[[#This Row],[End Date]]+2-TODAY()</f>
        <v>-129</v>
      </c>
      <c r="Z68" s="14">
        <f>IF(ISBLANK(Table24[[#This Row],[Roster Received By]]),1,0)</f>
        <v>1</v>
      </c>
      <c r="AA68" s="14">
        <f ca="1">IF(Table24[[#This Row],[Start Date]]&gt;TODAY(),1,)</f>
        <v>0</v>
      </c>
    </row>
    <row r="69" spans="1:27" s="93" customFormat="1" ht="14.25" customHeight="1" x14ac:dyDescent="0.25">
      <c r="A69" s="52"/>
      <c r="B69" s="86" t="s">
        <v>57</v>
      </c>
      <c r="C69" s="87" t="s">
        <v>114</v>
      </c>
      <c r="D69" s="87" t="s">
        <v>115</v>
      </c>
      <c r="E69" s="54"/>
      <c r="F69" s="56">
        <v>45692</v>
      </c>
      <c r="G69" s="89">
        <v>45694</v>
      </c>
      <c r="H69" s="92"/>
      <c r="I69" s="88">
        <v>0.29166666666666669</v>
      </c>
      <c r="J69" s="89"/>
      <c r="K69" s="89"/>
      <c r="L69" s="89"/>
      <c r="M69" s="89"/>
      <c r="N69" s="89"/>
      <c r="O69" s="86" t="s">
        <v>277</v>
      </c>
      <c r="P69" s="86" t="s">
        <v>274</v>
      </c>
      <c r="Q69" s="14">
        <v>45</v>
      </c>
      <c r="R69" s="14">
        <v>3</v>
      </c>
      <c r="S69" s="14"/>
      <c r="T69" s="90"/>
      <c r="U69" s="14"/>
      <c r="V69" s="14"/>
      <c r="W69" s="14"/>
      <c r="X69" s="86"/>
      <c r="Y69" s="59">
        <f ca="1">Table24[[#This Row],[End Date]]+2-TODAY()</f>
        <v>-122</v>
      </c>
      <c r="Z69" s="14">
        <f>IF(ISBLANK(Table24[[#This Row],[Roster Received By]]),1,0)</f>
        <v>1</v>
      </c>
      <c r="AA69" s="14">
        <f ca="1">IF(Table24[[#This Row],[Start Date]]&gt;TODAY(),1,)</f>
        <v>0</v>
      </c>
    </row>
    <row r="70" spans="1:27" s="93" customFormat="1" ht="14.25" customHeight="1" x14ac:dyDescent="0.25">
      <c r="A70" s="52"/>
      <c r="B70" s="86" t="s">
        <v>57</v>
      </c>
      <c r="C70" s="87" t="s">
        <v>114</v>
      </c>
      <c r="D70" s="87" t="s">
        <v>115</v>
      </c>
      <c r="E70" s="86"/>
      <c r="F70" s="89">
        <v>45706</v>
      </c>
      <c r="G70" s="89">
        <v>45708</v>
      </c>
      <c r="H70" s="92"/>
      <c r="I70" s="92">
        <v>800.33333333333337</v>
      </c>
      <c r="J70" s="89"/>
      <c r="K70" s="89"/>
      <c r="L70" s="89"/>
      <c r="M70" s="89"/>
      <c r="N70" s="89"/>
      <c r="O70" s="86" t="s">
        <v>277</v>
      </c>
      <c r="P70" s="86" t="s">
        <v>274</v>
      </c>
      <c r="Q70" s="14">
        <v>45</v>
      </c>
      <c r="R70" s="14">
        <v>3</v>
      </c>
      <c r="S70" s="90"/>
      <c r="T70" s="90"/>
      <c r="U70" s="14"/>
      <c r="V70" s="14"/>
      <c r="W70" s="14"/>
      <c r="X70" s="86"/>
      <c r="Y70" s="59">
        <f ca="1">Table24[[#This Row],[End Date]]+2-TODAY()</f>
        <v>-108</v>
      </c>
      <c r="Z70" s="14">
        <f>IF(ISBLANK(Table24[[#This Row],[Roster Received By]]),1,0)</f>
        <v>1</v>
      </c>
      <c r="AA70" s="14">
        <f ca="1">IF(Table24[[#This Row],[Start Date]]&gt;TODAY(),1,)</f>
        <v>0</v>
      </c>
    </row>
    <row r="71" spans="1:27" s="93" customFormat="1" ht="14.25" customHeight="1" x14ac:dyDescent="0.25">
      <c r="A71" s="52"/>
      <c r="B71" s="86" t="s">
        <v>57</v>
      </c>
      <c r="C71" s="87" t="s">
        <v>114</v>
      </c>
      <c r="D71" s="87" t="s">
        <v>115</v>
      </c>
      <c r="E71" s="86"/>
      <c r="F71" s="89">
        <v>45720</v>
      </c>
      <c r="G71" s="89">
        <v>45722</v>
      </c>
      <c r="H71" s="92"/>
      <c r="I71" s="92">
        <v>800.45833333333337</v>
      </c>
      <c r="J71" s="89"/>
      <c r="K71" s="89"/>
      <c r="L71" s="89"/>
      <c r="M71" s="89"/>
      <c r="N71" s="89"/>
      <c r="O71" s="86" t="s">
        <v>277</v>
      </c>
      <c r="P71" s="86" t="s">
        <v>274</v>
      </c>
      <c r="Q71" s="14">
        <v>45</v>
      </c>
      <c r="R71" s="14">
        <v>3</v>
      </c>
      <c r="S71" s="90"/>
      <c r="T71" s="90"/>
      <c r="U71" s="14"/>
      <c r="V71" s="14"/>
      <c r="W71" s="14"/>
      <c r="X71" s="86"/>
      <c r="Y71" s="59">
        <f ca="1">Table24[[#This Row],[End Date]]+2-TODAY()</f>
        <v>-94</v>
      </c>
      <c r="Z71" s="14">
        <f>IF(ISBLANK(Table24[[#This Row],[Roster Received By]]),1,0)</f>
        <v>1</v>
      </c>
      <c r="AA71" s="14">
        <f ca="1">IF(Table24[[#This Row],[Start Date]]&gt;TODAY(),1,)</f>
        <v>0</v>
      </c>
    </row>
    <row r="72" spans="1:27" s="93" customFormat="1" ht="14.25" customHeight="1" x14ac:dyDescent="0.25">
      <c r="A72" s="52"/>
      <c r="B72" s="86" t="s">
        <v>57</v>
      </c>
      <c r="C72" s="87" t="s">
        <v>114</v>
      </c>
      <c r="D72" s="87" t="s">
        <v>115</v>
      </c>
      <c r="E72" s="86"/>
      <c r="F72" s="89">
        <v>45734</v>
      </c>
      <c r="G72" s="89">
        <v>45736</v>
      </c>
      <c r="H72" s="92"/>
      <c r="I72" s="92">
        <v>800.79166666666663</v>
      </c>
      <c r="J72" s="89"/>
      <c r="K72" s="89"/>
      <c r="L72" s="89"/>
      <c r="M72" s="89"/>
      <c r="N72" s="89"/>
      <c r="O72" s="86" t="s">
        <v>277</v>
      </c>
      <c r="P72" s="86" t="s">
        <v>274</v>
      </c>
      <c r="Q72" s="14">
        <v>45</v>
      </c>
      <c r="R72" s="14">
        <v>3</v>
      </c>
      <c r="S72" s="90"/>
      <c r="T72" s="90"/>
      <c r="U72" s="14"/>
      <c r="V72" s="14"/>
      <c r="W72" s="14"/>
      <c r="X72" s="86"/>
      <c r="Y72" s="59">
        <f ca="1">Table24[[#This Row],[End Date]]+2-TODAY()</f>
        <v>-80</v>
      </c>
      <c r="Z72" s="14">
        <f>IF(ISBLANK(Table24[[#This Row],[Roster Received By]]),1,0)</f>
        <v>1</v>
      </c>
      <c r="AA72" s="14">
        <f ca="1">IF(Table24[[#This Row],[Start Date]]&gt;TODAY(),1,)</f>
        <v>0</v>
      </c>
    </row>
    <row r="73" spans="1:27" s="93" customFormat="1" ht="14.25" customHeight="1" x14ac:dyDescent="0.25">
      <c r="A73" s="52"/>
      <c r="B73" s="86" t="s">
        <v>57</v>
      </c>
      <c r="C73" s="87" t="s">
        <v>114</v>
      </c>
      <c r="D73" s="87" t="s">
        <v>115</v>
      </c>
      <c r="E73" s="86"/>
      <c r="F73" s="89">
        <v>45748</v>
      </c>
      <c r="G73" s="89">
        <v>45750</v>
      </c>
      <c r="H73" s="92"/>
      <c r="I73" s="92">
        <v>800.29166666666663</v>
      </c>
      <c r="J73" s="89"/>
      <c r="K73" s="89"/>
      <c r="L73" s="89"/>
      <c r="M73" s="89"/>
      <c r="N73" s="89"/>
      <c r="O73" s="86" t="s">
        <v>277</v>
      </c>
      <c r="P73" s="86" t="s">
        <v>274</v>
      </c>
      <c r="Q73" s="14">
        <v>45</v>
      </c>
      <c r="R73" s="14">
        <v>3</v>
      </c>
      <c r="S73" s="90"/>
      <c r="T73" s="90"/>
      <c r="U73" s="14"/>
      <c r="V73" s="14"/>
      <c r="W73" s="14"/>
      <c r="X73" s="86"/>
      <c r="Y73" s="59">
        <f ca="1">Table24[[#This Row],[End Date]]+2-TODAY()</f>
        <v>-66</v>
      </c>
      <c r="Z73" s="14">
        <f>IF(ISBLANK(Table24[[#This Row],[Roster Received By]]),1,0)</f>
        <v>1</v>
      </c>
      <c r="AA73" s="14">
        <f ca="1">IF(Table24[[#This Row],[Start Date]]&gt;TODAY(),1,)</f>
        <v>0</v>
      </c>
    </row>
    <row r="74" spans="1:27" s="93" customFormat="1" ht="14.25" customHeight="1" x14ac:dyDescent="0.25">
      <c r="A74" s="52"/>
      <c r="B74" s="86" t="s">
        <v>57</v>
      </c>
      <c r="C74" s="87" t="s">
        <v>114</v>
      </c>
      <c r="D74" s="87" t="s">
        <v>115</v>
      </c>
      <c r="E74" s="86"/>
      <c r="F74" s="89">
        <v>45776</v>
      </c>
      <c r="G74" s="89">
        <v>45778</v>
      </c>
      <c r="H74" s="92"/>
      <c r="I74" s="92">
        <v>800.33333333333337</v>
      </c>
      <c r="J74" s="89"/>
      <c r="K74" s="89"/>
      <c r="L74" s="89"/>
      <c r="M74" s="89"/>
      <c r="N74" s="89"/>
      <c r="O74" s="86" t="s">
        <v>277</v>
      </c>
      <c r="P74" s="86" t="s">
        <v>274</v>
      </c>
      <c r="Q74" s="14">
        <v>45</v>
      </c>
      <c r="R74" s="14">
        <v>3</v>
      </c>
      <c r="S74" s="90"/>
      <c r="T74" s="90"/>
      <c r="U74" s="14"/>
      <c r="V74" s="14"/>
      <c r="W74" s="14"/>
      <c r="X74" s="86"/>
      <c r="Y74" s="59">
        <f ca="1">Table24[[#This Row],[End Date]]+2-TODAY()</f>
        <v>-38</v>
      </c>
      <c r="Z74" s="14">
        <f>IF(ISBLANK(Table24[[#This Row],[Roster Received By]]),1,0)</f>
        <v>1</v>
      </c>
      <c r="AA74" s="14">
        <f ca="1">IF(Table24[[#This Row],[Start Date]]&gt;TODAY(),1,)</f>
        <v>0</v>
      </c>
    </row>
    <row r="75" spans="1:27" s="93" customFormat="1" ht="14.25" customHeight="1" x14ac:dyDescent="0.25">
      <c r="A75" s="52"/>
      <c r="B75" s="86" t="s">
        <v>57</v>
      </c>
      <c r="C75" s="87" t="s">
        <v>114</v>
      </c>
      <c r="D75" s="87" t="s">
        <v>115</v>
      </c>
      <c r="E75" s="86"/>
      <c r="F75" s="89">
        <v>45790</v>
      </c>
      <c r="G75" s="89">
        <v>45792</v>
      </c>
      <c r="H75" s="92"/>
      <c r="I75" s="92">
        <v>800.45833333333337</v>
      </c>
      <c r="J75" s="89"/>
      <c r="K75" s="89"/>
      <c r="L75" s="89"/>
      <c r="M75" s="89"/>
      <c r="N75" s="89"/>
      <c r="O75" s="86" t="s">
        <v>277</v>
      </c>
      <c r="P75" s="86" t="s">
        <v>274</v>
      </c>
      <c r="Q75" s="14">
        <v>45</v>
      </c>
      <c r="R75" s="14">
        <v>3</v>
      </c>
      <c r="S75" s="90"/>
      <c r="T75" s="90"/>
      <c r="U75" s="14"/>
      <c r="V75" s="14"/>
      <c r="W75" s="14"/>
      <c r="X75" s="86"/>
      <c r="Y75" s="59">
        <f ca="1">Table24[[#This Row],[End Date]]+2-TODAY()</f>
        <v>-24</v>
      </c>
      <c r="Z75" s="14">
        <f>IF(ISBLANK(Table24[[#This Row],[Roster Received By]]),1,0)</f>
        <v>1</v>
      </c>
      <c r="AA75" s="14">
        <f ca="1">IF(Table24[[#This Row],[Start Date]]&gt;TODAY(),1,)</f>
        <v>0</v>
      </c>
    </row>
    <row r="76" spans="1:27" s="93" customFormat="1" ht="14.25" customHeight="1" x14ac:dyDescent="0.25">
      <c r="A76" s="52"/>
      <c r="B76" s="86" t="s">
        <v>57</v>
      </c>
      <c r="C76" s="87" t="s">
        <v>114</v>
      </c>
      <c r="D76" s="87" t="s">
        <v>115</v>
      </c>
      <c r="E76" s="86"/>
      <c r="F76" s="89">
        <v>45804</v>
      </c>
      <c r="G76" s="89">
        <v>45806</v>
      </c>
      <c r="H76" s="92"/>
      <c r="I76" s="92">
        <v>800.54166666666663</v>
      </c>
      <c r="J76" s="89"/>
      <c r="K76" s="89"/>
      <c r="L76" s="89"/>
      <c r="M76" s="89"/>
      <c r="N76" s="89"/>
      <c r="O76" s="86" t="s">
        <v>277</v>
      </c>
      <c r="P76" s="86" t="s">
        <v>274</v>
      </c>
      <c r="Q76" s="14">
        <v>45</v>
      </c>
      <c r="R76" s="14">
        <v>3</v>
      </c>
      <c r="S76" s="90"/>
      <c r="T76" s="90"/>
      <c r="U76" s="14"/>
      <c r="V76" s="14"/>
      <c r="W76" s="14"/>
      <c r="X76" s="86"/>
      <c r="Y76" s="59">
        <f ca="1">Table24[[#This Row],[End Date]]+2-TODAY()</f>
        <v>-10</v>
      </c>
      <c r="Z76" s="14">
        <f>IF(ISBLANK(Table24[[#This Row],[Roster Received By]]),1,0)</f>
        <v>1</v>
      </c>
      <c r="AA76" s="14">
        <f ca="1">IF(Table24[[#This Row],[Start Date]]&gt;TODAY(),1,)</f>
        <v>0</v>
      </c>
    </row>
    <row r="77" spans="1:27" s="93" customFormat="1" ht="14.25" customHeight="1" x14ac:dyDescent="0.25">
      <c r="A77" s="52"/>
      <c r="B77" s="86" t="s">
        <v>57</v>
      </c>
      <c r="C77" s="87" t="s">
        <v>114</v>
      </c>
      <c r="D77" s="87" t="s">
        <v>115</v>
      </c>
      <c r="E77" s="86"/>
      <c r="F77" s="89">
        <v>45818</v>
      </c>
      <c r="G77" s="89">
        <v>45820</v>
      </c>
      <c r="H77" s="89"/>
      <c r="I77" s="88">
        <v>0.41666666666666669</v>
      </c>
      <c r="J77" s="88"/>
      <c r="K77" s="88"/>
      <c r="L77" s="88"/>
      <c r="M77" s="88"/>
      <c r="N77" s="88"/>
      <c r="O77" s="86" t="s">
        <v>277</v>
      </c>
      <c r="P77" s="86" t="s">
        <v>274</v>
      </c>
      <c r="Q77" s="14">
        <v>45</v>
      </c>
      <c r="R77" s="14">
        <v>3</v>
      </c>
      <c r="S77" s="14"/>
      <c r="T77" s="90"/>
      <c r="U77" s="14"/>
      <c r="V77" s="14"/>
      <c r="W77" s="14"/>
      <c r="X77" s="86"/>
      <c r="Y77" s="59">
        <f ca="1">Table24[[#This Row],[End Date]]+2-TODAY()</f>
        <v>4</v>
      </c>
      <c r="Z77" s="14">
        <f>IF(ISBLANK(Table24[[#This Row],[Roster Received By]]),1,0)</f>
        <v>1</v>
      </c>
      <c r="AA77" s="14">
        <f ca="1">IF(Table24[[#This Row],[Start Date]]&gt;TODAY(),1,)</f>
        <v>0</v>
      </c>
    </row>
    <row r="78" spans="1:27" s="93" customFormat="1" ht="14.25" customHeight="1" x14ac:dyDescent="0.25">
      <c r="A78" s="52"/>
      <c r="B78" s="86" t="s">
        <v>57</v>
      </c>
      <c r="C78" s="87" t="s">
        <v>114</v>
      </c>
      <c r="D78" s="87" t="s">
        <v>115</v>
      </c>
      <c r="E78" s="86"/>
      <c r="F78" s="89">
        <v>45832</v>
      </c>
      <c r="G78" s="89">
        <v>45834</v>
      </c>
      <c r="H78" s="92"/>
      <c r="I78" s="92">
        <v>700.29166666666663</v>
      </c>
      <c r="J78" s="89"/>
      <c r="K78" s="89"/>
      <c r="L78" s="89"/>
      <c r="M78" s="89"/>
      <c r="N78" s="89"/>
      <c r="O78" s="86" t="s">
        <v>277</v>
      </c>
      <c r="P78" s="86" t="s">
        <v>274</v>
      </c>
      <c r="Q78" s="14">
        <v>45</v>
      </c>
      <c r="R78" s="14">
        <v>3</v>
      </c>
      <c r="S78" s="90"/>
      <c r="T78" s="90"/>
      <c r="U78" s="14"/>
      <c r="V78" s="14"/>
      <c r="W78" s="14"/>
      <c r="X78" s="86"/>
      <c r="Y78" s="59">
        <f ca="1">Table24[[#This Row],[End Date]]+2-TODAY()</f>
        <v>18</v>
      </c>
      <c r="Z78" s="14">
        <f>IF(ISBLANK(Table24[[#This Row],[Roster Received By]]),1,0)</f>
        <v>1</v>
      </c>
      <c r="AA78" s="14">
        <f ca="1">IF(Table24[[#This Row],[Start Date]]&gt;TODAY(),1,)</f>
        <v>1</v>
      </c>
    </row>
    <row r="79" spans="1:27" s="93" customFormat="1" ht="14.25" customHeight="1" x14ac:dyDescent="0.25">
      <c r="A79" s="52"/>
      <c r="B79" s="86" t="s">
        <v>57</v>
      </c>
      <c r="C79" s="87" t="s">
        <v>114</v>
      </c>
      <c r="D79" s="87" t="s">
        <v>115</v>
      </c>
      <c r="E79" s="86"/>
      <c r="F79" s="89">
        <v>45846</v>
      </c>
      <c r="G79" s="89">
        <v>45848</v>
      </c>
      <c r="H79" s="89"/>
      <c r="I79" s="88">
        <v>0.33333333333333331</v>
      </c>
      <c r="J79" s="88"/>
      <c r="K79" s="88"/>
      <c r="L79" s="88"/>
      <c r="M79" s="88"/>
      <c r="N79" s="88"/>
      <c r="O79" s="86" t="s">
        <v>277</v>
      </c>
      <c r="P79" s="86" t="s">
        <v>274</v>
      </c>
      <c r="Q79" s="14">
        <v>45</v>
      </c>
      <c r="R79" s="14">
        <v>3</v>
      </c>
      <c r="S79" s="14"/>
      <c r="T79" s="90"/>
      <c r="U79" s="14"/>
      <c r="V79" s="14"/>
      <c r="W79" s="14"/>
      <c r="X79" s="86"/>
      <c r="Y79" s="59">
        <f ca="1">Table24[[#This Row],[End Date]]+2-TODAY()</f>
        <v>32</v>
      </c>
      <c r="Z79" s="14">
        <f>IF(ISBLANK(Table24[[#This Row],[Roster Received By]]),1,0)</f>
        <v>1</v>
      </c>
      <c r="AA79" s="14">
        <f ca="1">IF(Table24[[#This Row],[Start Date]]&gt;TODAY(),1,)</f>
        <v>1</v>
      </c>
    </row>
    <row r="80" spans="1:27" s="93" customFormat="1" ht="14.25" customHeight="1" x14ac:dyDescent="0.25">
      <c r="A80" s="52"/>
      <c r="B80" s="86" t="s">
        <v>57</v>
      </c>
      <c r="C80" s="87" t="s">
        <v>114</v>
      </c>
      <c r="D80" s="87" t="s">
        <v>115</v>
      </c>
      <c r="E80" s="86"/>
      <c r="F80" s="89">
        <v>45860</v>
      </c>
      <c r="G80" s="89">
        <v>45862</v>
      </c>
      <c r="H80" s="92"/>
      <c r="I80" s="92">
        <v>700.54166666666663</v>
      </c>
      <c r="J80" s="89"/>
      <c r="K80" s="89"/>
      <c r="L80" s="89"/>
      <c r="M80" s="89"/>
      <c r="N80" s="89"/>
      <c r="O80" s="86" t="s">
        <v>277</v>
      </c>
      <c r="P80" s="86" t="s">
        <v>274</v>
      </c>
      <c r="Q80" s="14">
        <v>45</v>
      </c>
      <c r="R80" s="14">
        <v>3</v>
      </c>
      <c r="S80" s="90"/>
      <c r="T80" s="90"/>
      <c r="U80" s="14"/>
      <c r="V80" s="14"/>
      <c r="W80" s="14"/>
      <c r="X80" s="86"/>
      <c r="Y80" s="59">
        <f ca="1">Table24[[#This Row],[End Date]]+2-TODAY()</f>
        <v>46</v>
      </c>
      <c r="Z80" s="14">
        <f>IF(ISBLANK(Table24[[#This Row],[Roster Received By]]),1,0)</f>
        <v>1</v>
      </c>
      <c r="AA80" s="14">
        <f ca="1">IF(Table24[[#This Row],[Start Date]]&gt;TODAY(),1,)</f>
        <v>1</v>
      </c>
    </row>
    <row r="81" spans="1:27" s="122" customFormat="1" ht="14.25" customHeight="1" x14ac:dyDescent="0.25">
      <c r="A81" s="86"/>
      <c r="B81" s="86" t="s">
        <v>57</v>
      </c>
      <c r="C81" s="87" t="s">
        <v>114</v>
      </c>
      <c r="D81" s="87" t="s">
        <v>115</v>
      </c>
      <c r="E81" s="54"/>
      <c r="F81" s="89">
        <v>45874</v>
      </c>
      <c r="G81" s="89">
        <v>45876</v>
      </c>
      <c r="H81" s="92"/>
      <c r="I81" s="88">
        <v>0.41666666666666669</v>
      </c>
      <c r="J81" s="89"/>
      <c r="K81" s="89"/>
      <c r="L81" s="89"/>
      <c r="M81" s="89"/>
      <c r="N81" s="89"/>
      <c r="O81" s="86" t="s">
        <v>277</v>
      </c>
      <c r="P81" s="86" t="s">
        <v>274</v>
      </c>
      <c r="Q81" s="14">
        <v>45</v>
      </c>
      <c r="R81" s="14">
        <v>3</v>
      </c>
      <c r="S81" s="14"/>
      <c r="T81" s="90"/>
      <c r="U81" s="14"/>
      <c r="V81" s="14"/>
      <c r="W81" s="14"/>
      <c r="X81" s="86"/>
      <c r="Y81" s="59">
        <f ca="1">Table24[[#This Row],[End Date]]+2-TODAY()</f>
        <v>60</v>
      </c>
      <c r="Z81" s="14">
        <f>IF(ISBLANK(Table24[[#This Row],[Roster Received By]]),1,0)</f>
        <v>1</v>
      </c>
      <c r="AA81" s="14">
        <f ca="1">IF(Table24[[#This Row],[Start Date]]&gt;TODAY(),1,)</f>
        <v>1</v>
      </c>
    </row>
    <row r="82" spans="1:27" s="122" customFormat="1" ht="14.25" customHeight="1" x14ac:dyDescent="0.25">
      <c r="A82" s="86"/>
      <c r="B82" s="86" t="s">
        <v>57</v>
      </c>
      <c r="C82" s="87" t="s">
        <v>114</v>
      </c>
      <c r="D82" s="87" t="s">
        <v>115</v>
      </c>
      <c r="E82" s="86"/>
      <c r="F82" s="89">
        <v>45888</v>
      </c>
      <c r="G82" s="89">
        <v>45890</v>
      </c>
      <c r="H82" s="92"/>
      <c r="I82" s="92">
        <v>700.45833333333337</v>
      </c>
      <c r="J82" s="89"/>
      <c r="K82" s="89"/>
      <c r="L82" s="89"/>
      <c r="M82" s="89"/>
      <c r="N82" s="89"/>
      <c r="O82" s="86" t="s">
        <v>277</v>
      </c>
      <c r="P82" s="86" t="s">
        <v>274</v>
      </c>
      <c r="Q82" s="14">
        <v>45</v>
      </c>
      <c r="R82" s="14">
        <v>3</v>
      </c>
      <c r="S82" s="90"/>
      <c r="T82" s="90"/>
      <c r="U82" s="14"/>
      <c r="V82" s="14"/>
      <c r="W82" s="14"/>
      <c r="X82" s="86"/>
      <c r="Y82" s="59">
        <f ca="1">Table24[[#This Row],[End Date]]+2-TODAY()</f>
        <v>74</v>
      </c>
      <c r="Z82" s="14">
        <f>IF(ISBLANK(Table24[[#This Row],[Roster Received By]]),1,0)</f>
        <v>1</v>
      </c>
      <c r="AA82" s="14">
        <f ca="1">IF(Table24[[#This Row],[Start Date]]&gt;TODAY(),1,)</f>
        <v>1</v>
      </c>
    </row>
    <row r="83" spans="1:27" s="122" customFormat="1" ht="14.25" customHeight="1" x14ac:dyDescent="0.25">
      <c r="A83" s="86"/>
      <c r="B83" s="86" t="s">
        <v>57</v>
      </c>
      <c r="C83" s="87" t="s">
        <v>114</v>
      </c>
      <c r="D83" s="87" t="s">
        <v>115</v>
      </c>
      <c r="E83" s="86"/>
      <c r="F83" s="89">
        <v>45902</v>
      </c>
      <c r="G83" s="89">
        <v>45904</v>
      </c>
      <c r="H83" s="92"/>
      <c r="I83" s="92">
        <v>700.79166666666663</v>
      </c>
      <c r="J83" s="89"/>
      <c r="K83" s="89"/>
      <c r="L83" s="89"/>
      <c r="M83" s="89"/>
      <c r="N83" s="89"/>
      <c r="O83" s="86" t="s">
        <v>277</v>
      </c>
      <c r="P83" s="86" t="s">
        <v>274</v>
      </c>
      <c r="Q83" s="14">
        <v>45</v>
      </c>
      <c r="R83" s="14">
        <v>3</v>
      </c>
      <c r="S83" s="90"/>
      <c r="T83" s="90"/>
      <c r="U83" s="14"/>
      <c r="V83" s="14"/>
      <c r="W83" s="14"/>
      <c r="X83" s="86"/>
      <c r="Y83" s="59">
        <f ca="1">Table24[[#This Row],[End Date]]+2-TODAY()</f>
        <v>88</v>
      </c>
      <c r="Z83" s="14">
        <f>IF(ISBLANK(Table24[[#This Row],[Roster Received By]]),1,0)</f>
        <v>1</v>
      </c>
      <c r="AA83" s="14">
        <f ca="1">IF(Table24[[#This Row],[Start Date]]&gt;TODAY(),1,)</f>
        <v>1</v>
      </c>
    </row>
    <row r="84" spans="1:27" s="122" customFormat="1" ht="14.25" customHeight="1" x14ac:dyDescent="0.25">
      <c r="A84" s="86"/>
      <c r="B84" s="86" t="s">
        <v>57</v>
      </c>
      <c r="C84" s="87" t="s">
        <v>114</v>
      </c>
      <c r="D84" s="87" t="s">
        <v>115</v>
      </c>
      <c r="E84" s="86"/>
      <c r="F84" s="89">
        <v>45916</v>
      </c>
      <c r="G84" s="89">
        <v>45918</v>
      </c>
      <c r="H84" s="92"/>
      <c r="I84" s="92">
        <v>700.33333333333337</v>
      </c>
      <c r="J84" s="89"/>
      <c r="K84" s="89"/>
      <c r="L84" s="89"/>
      <c r="M84" s="89"/>
      <c r="N84" s="89"/>
      <c r="O84" s="86" t="s">
        <v>277</v>
      </c>
      <c r="P84" s="86" t="s">
        <v>274</v>
      </c>
      <c r="Q84" s="14">
        <v>45</v>
      </c>
      <c r="R84" s="14">
        <v>3</v>
      </c>
      <c r="S84" s="90"/>
      <c r="T84" s="90"/>
      <c r="U84" s="14"/>
      <c r="V84" s="14"/>
      <c r="W84" s="14"/>
      <c r="X84" s="86"/>
      <c r="Y84" s="59">
        <f ca="1">Table24[[#This Row],[End Date]]+2-TODAY()</f>
        <v>102</v>
      </c>
      <c r="Z84" s="14">
        <f>IF(ISBLANK(Table24[[#This Row],[Roster Received By]]),1,0)</f>
        <v>1</v>
      </c>
      <c r="AA84" s="14">
        <f ca="1">IF(Table24[[#This Row],[Start Date]]&gt;TODAY(),1,)</f>
        <v>1</v>
      </c>
    </row>
    <row r="85" spans="1:27" s="122" customFormat="1" ht="14.25" customHeight="1" x14ac:dyDescent="0.25">
      <c r="A85" s="86"/>
      <c r="B85" s="86" t="s">
        <v>57</v>
      </c>
      <c r="C85" s="87" t="s">
        <v>114</v>
      </c>
      <c r="D85" s="87" t="s">
        <v>115</v>
      </c>
      <c r="E85" s="86"/>
      <c r="F85" s="89">
        <v>45930</v>
      </c>
      <c r="G85" s="89">
        <v>45932</v>
      </c>
      <c r="H85" s="92"/>
      <c r="I85" s="92">
        <v>700.54166666666663</v>
      </c>
      <c r="J85" s="89"/>
      <c r="K85" s="89"/>
      <c r="L85" s="89"/>
      <c r="M85" s="89"/>
      <c r="N85" s="89"/>
      <c r="O85" s="86" t="s">
        <v>277</v>
      </c>
      <c r="P85" s="86" t="s">
        <v>274</v>
      </c>
      <c r="Q85" s="14">
        <v>45</v>
      </c>
      <c r="R85" s="14">
        <v>3</v>
      </c>
      <c r="S85" s="90"/>
      <c r="T85" s="90"/>
      <c r="U85" s="14"/>
      <c r="V85" s="14"/>
      <c r="W85" s="14"/>
      <c r="X85" s="86"/>
      <c r="Y85" s="59">
        <f ca="1">Table24[[#This Row],[End Date]]+2-TODAY()</f>
        <v>116</v>
      </c>
      <c r="Z85" s="14">
        <f>IF(ISBLANK(Table24[[#This Row],[Roster Received By]]),1,0)</f>
        <v>1</v>
      </c>
      <c r="AA85" s="14">
        <f ca="1">IF(Table24[[#This Row],[Start Date]]&gt;TODAY(),1,)</f>
        <v>1</v>
      </c>
    </row>
    <row r="86" spans="1:27" s="93" customFormat="1" ht="14.25" customHeight="1" x14ac:dyDescent="0.25">
      <c r="A86" s="52"/>
      <c r="B86" s="86" t="s">
        <v>55</v>
      </c>
      <c r="C86" s="87" t="s">
        <v>104</v>
      </c>
      <c r="D86" s="87" t="s">
        <v>105</v>
      </c>
      <c r="E86" s="86" t="s">
        <v>168</v>
      </c>
      <c r="F86" s="89">
        <v>45712</v>
      </c>
      <c r="G86" s="89">
        <v>45716</v>
      </c>
      <c r="H86" s="92"/>
      <c r="I86" s="88">
        <v>0.33333333333333331</v>
      </c>
      <c r="J86" s="89"/>
      <c r="K86" s="89"/>
      <c r="L86" s="89"/>
      <c r="M86" s="89"/>
      <c r="N86" s="89"/>
      <c r="O86" s="86" t="s">
        <v>289</v>
      </c>
      <c r="P86" s="86"/>
      <c r="Q86" s="14">
        <v>25</v>
      </c>
      <c r="R86" s="14">
        <v>5</v>
      </c>
      <c r="S86" s="14"/>
      <c r="T86" s="90"/>
      <c r="U86" s="14"/>
      <c r="V86" s="14"/>
      <c r="W86" s="87"/>
      <c r="X86" s="86"/>
      <c r="Y86" s="59">
        <f ca="1">Table24[[#This Row],[End Date]]+2-TODAY()</f>
        <v>-100</v>
      </c>
      <c r="Z86" s="14">
        <f>IF(ISBLANK(Table24[[#This Row],[Roster Received By]]),1,0)</f>
        <v>1</v>
      </c>
      <c r="AA86" s="14">
        <f ca="1">IF(Table24[[#This Row],[Start Date]]&gt;TODAY(),1,)</f>
        <v>0</v>
      </c>
    </row>
    <row r="87" spans="1:27" s="93" customFormat="1" ht="14.25" customHeight="1" x14ac:dyDescent="0.25">
      <c r="A87" s="86"/>
      <c r="B87" s="86" t="s">
        <v>55</v>
      </c>
      <c r="C87" s="87" t="s">
        <v>104</v>
      </c>
      <c r="D87" s="87" t="s">
        <v>105</v>
      </c>
      <c r="E87" s="86" t="s">
        <v>168</v>
      </c>
      <c r="F87" s="89">
        <v>45719</v>
      </c>
      <c r="G87" s="89">
        <v>45733</v>
      </c>
      <c r="H87" s="92"/>
      <c r="I87" s="88">
        <v>0.33333333333333331</v>
      </c>
      <c r="J87" s="89"/>
      <c r="K87" s="89"/>
      <c r="L87" s="89"/>
      <c r="M87" s="89"/>
      <c r="N87" s="89"/>
      <c r="O87" s="86" t="s">
        <v>289</v>
      </c>
      <c r="P87" s="86"/>
      <c r="Q87" s="14">
        <v>25</v>
      </c>
      <c r="R87" s="14">
        <v>5</v>
      </c>
      <c r="S87" s="14"/>
      <c r="T87" s="90"/>
      <c r="U87" s="14"/>
      <c r="V87" s="14"/>
      <c r="W87" s="14"/>
      <c r="X87" s="86"/>
      <c r="Y87" s="59">
        <f ca="1">Table24[[#This Row],[End Date]]+2-TODAY()</f>
        <v>-83</v>
      </c>
      <c r="Z87" s="14">
        <f>IF(ISBLANK(Table24[[#This Row],[Roster Received By]]),1,0)</f>
        <v>1</v>
      </c>
      <c r="AA87" s="14">
        <f ca="1">IF(Table24[[#This Row],[Start Date]]&gt;TODAY(),1,)</f>
        <v>0</v>
      </c>
    </row>
    <row r="88" spans="1:27" s="93" customFormat="1" ht="14.25" customHeight="1" x14ac:dyDescent="0.25">
      <c r="A88" s="52"/>
      <c r="B88" s="86" t="s">
        <v>55</v>
      </c>
      <c r="C88" s="87" t="s">
        <v>104</v>
      </c>
      <c r="D88" s="87" t="s">
        <v>105</v>
      </c>
      <c r="E88" s="86" t="s">
        <v>276</v>
      </c>
      <c r="F88" s="89">
        <v>45628</v>
      </c>
      <c r="G88" s="89">
        <v>45632</v>
      </c>
      <c r="H88" s="89"/>
      <c r="I88" s="88">
        <v>0.33333333333333331</v>
      </c>
      <c r="J88" s="88">
        <v>0.33333333333333331</v>
      </c>
      <c r="K88" s="88"/>
      <c r="L88" s="88"/>
      <c r="M88" s="88"/>
      <c r="N88" s="88"/>
      <c r="O88" s="86" t="s">
        <v>289</v>
      </c>
      <c r="P88" s="86"/>
      <c r="Q88" s="14">
        <v>25</v>
      </c>
      <c r="R88" s="14">
        <v>5</v>
      </c>
      <c r="S88" s="14"/>
      <c r="T88" s="90"/>
      <c r="U88" s="14"/>
      <c r="V88" s="14"/>
      <c r="W88" s="14"/>
      <c r="X88" s="86"/>
      <c r="Y88" s="59">
        <f ca="1">Table24[[#This Row],[End Date]]+2-TODAY()</f>
        <v>-184</v>
      </c>
      <c r="Z88" s="14">
        <f>IF(ISBLANK(Table24[[#This Row],[Roster Received By]]),1,0)</f>
        <v>1</v>
      </c>
      <c r="AA88" s="14">
        <f ca="1">IF(Table24[[#This Row],[Start Date]]&gt;TODAY(),1,)</f>
        <v>0</v>
      </c>
    </row>
    <row r="89" spans="1:27" s="93" customFormat="1" ht="14.25" customHeight="1" x14ac:dyDescent="0.25">
      <c r="A89" s="52"/>
      <c r="B89" s="86" t="s">
        <v>55</v>
      </c>
      <c r="C89" s="87" t="s">
        <v>104</v>
      </c>
      <c r="D89" s="87" t="s">
        <v>105</v>
      </c>
      <c r="E89" s="86" t="s">
        <v>276</v>
      </c>
      <c r="F89" s="89">
        <v>45635</v>
      </c>
      <c r="G89" s="89">
        <v>45639</v>
      </c>
      <c r="H89" s="89"/>
      <c r="I89" s="88">
        <v>0.33333333333333331</v>
      </c>
      <c r="J89" s="88">
        <v>0.33333333333333331</v>
      </c>
      <c r="K89" s="88"/>
      <c r="L89" s="88"/>
      <c r="M89" s="88"/>
      <c r="N89" s="88"/>
      <c r="O89" s="86" t="s">
        <v>289</v>
      </c>
      <c r="P89" s="86"/>
      <c r="Q89" s="14">
        <v>25</v>
      </c>
      <c r="R89" s="14">
        <v>5</v>
      </c>
      <c r="S89" s="14"/>
      <c r="T89" s="90"/>
      <c r="U89" s="14"/>
      <c r="V89" s="14"/>
      <c r="W89" s="87"/>
      <c r="X89" s="86"/>
      <c r="Y89" s="59">
        <f ca="1">Table24[[#This Row],[End Date]]+2-TODAY()</f>
        <v>-177</v>
      </c>
      <c r="Z89" s="14">
        <f>IF(ISBLANK(Table24[[#This Row],[Roster Received By]]),1,0)</f>
        <v>1</v>
      </c>
      <c r="AA89" s="14">
        <f ca="1">IF(Table24[[#This Row],[Start Date]]&gt;TODAY(),1,)</f>
        <v>0</v>
      </c>
    </row>
    <row r="90" spans="1:27" s="122" customFormat="1" x14ac:dyDescent="0.25">
      <c r="A90" s="52"/>
      <c r="B90" s="86" t="s">
        <v>55</v>
      </c>
      <c r="C90" s="87" t="s">
        <v>104</v>
      </c>
      <c r="D90" s="87" t="s">
        <v>105</v>
      </c>
      <c r="E90" s="86" t="s">
        <v>276</v>
      </c>
      <c r="F90" s="56">
        <v>45733</v>
      </c>
      <c r="G90" s="56">
        <v>45737</v>
      </c>
      <c r="H90" s="88"/>
      <c r="I90" s="88">
        <v>0.33333333333333331</v>
      </c>
      <c r="J90" s="88">
        <v>0.33333333333333331</v>
      </c>
      <c r="K90" s="89"/>
      <c r="L90" s="89"/>
      <c r="M90" s="89"/>
      <c r="N90" s="89"/>
      <c r="O90" s="86" t="s">
        <v>289</v>
      </c>
      <c r="P90" s="86"/>
      <c r="Q90" s="14">
        <v>25</v>
      </c>
      <c r="R90" s="14">
        <v>5</v>
      </c>
      <c r="S90" s="14"/>
      <c r="T90" s="90"/>
      <c r="U90" s="14"/>
      <c r="V90" s="14"/>
      <c r="W90" s="14"/>
      <c r="X90" s="86"/>
      <c r="Y90" s="59">
        <f ca="1">Table24[[#This Row],[End Date]]+2-TODAY()</f>
        <v>-79</v>
      </c>
      <c r="Z90" s="14">
        <f>IF(ISBLANK(Table24[[#This Row],[Roster Received By]]),1,0)</f>
        <v>1</v>
      </c>
      <c r="AA90" s="14">
        <f ca="1">IF(Table24[[#This Row],[Start Date]]&gt;TODAY(),1,)</f>
        <v>0</v>
      </c>
    </row>
    <row r="91" spans="1:27" s="93" customFormat="1" ht="14.25" customHeight="1" x14ac:dyDescent="0.25">
      <c r="A91" s="52"/>
      <c r="B91" s="86" t="s">
        <v>55</v>
      </c>
      <c r="C91" s="87" t="s">
        <v>104</v>
      </c>
      <c r="D91" s="87" t="s">
        <v>105</v>
      </c>
      <c r="E91" s="86" t="s">
        <v>276</v>
      </c>
      <c r="F91" s="89">
        <v>45740</v>
      </c>
      <c r="G91" s="89">
        <v>45744</v>
      </c>
      <c r="H91" s="92"/>
      <c r="I91" s="92">
        <v>0.33333333333333331</v>
      </c>
      <c r="J91" s="88">
        <v>0.33333333333333331</v>
      </c>
      <c r="K91" s="89"/>
      <c r="L91" s="89"/>
      <c r="M91" s="89"/>
      <c r="N91" s="89"/>
      <c r="O91" s="86" t="s">
        <v>289</v>
      </c>
      <c r="P91" s="86"/>
      <c r="Q91" s="14">
        <v>25</v>
      </c>
      <c r="R91" s="14">
        <v>5</v>
      </c>
      <c r="S91" s="14"/>
      <c r="T91" s="90"/>
      <c r="U91" s="14"/>
      <c r="V91" s="14"/>
      <c r="W91" s="14"/>
      <c r="X91" s="86"/>
      <c r="Y91" s="59">
        <f ca="1">Table24[[#This Row],[End Date]]+2-TODAY()</f>
        <v>-72</v>
      </c>
      <c r="Z91" s="14">
        <f>IF(ISBLANK(Table24[[#This Row],[Roster Received By]]),1,0)</f>
        <v>1</v>
      </c>
      <c r="AA91" s="14">
        <f ca="1">IF(Table24[[#This Row],[Start Date]]&gt;TODAY(),1,)</f>
        <v>0</v>
      </c>
    </row>
    <row r="92" spans="1:27" s="122" customFormat="1" ht="14.25" customHeight="1" x14ac:dyDescent="0.25">
      <c r="A92" s="52"/>
      <c r="B92" s="86" t="s">
        <v>55</v>
      </c>
      <c r="C92" s="87" t="s">
        <v>104</v>
      </c>
      <c r="D92" s="87" t="s">
        <v>105</v>
      </c>
      <c r="E92" s="86" t="s">
        <v>174</v>
      </c>
      <c r="F92" s="89">
        <v>45663</v>
      </c>
      <c r="G92" s="89">
        <v>45667</v>
      </c>
      <c r="H92" s="89"/>
      <c r="I92" s="88">
        <v>0.33333333333333331</v>
      </c>
      <c r="J92" s="88"/>
      <c r="K92" s="88"/>
      <c r="L92" s="88"/>
      <c r="M92" s="88">
        <v>0.33333333333333331</v>
      </c>
      <c r="N92" s="88"/>
      <c r="O92" s="86" t="s">
        <v>289</v>
      </c>
      <c r="P92" s="86"/>
      <c r="Q92" s="14">
        <v>25</v>
      </c>
      <c r="R92" s="14">
        <v>5</v>
      </c>
      <c r="S92" s="14"/>
      <c r="T92" s="90"/>
      <c r="U92" s="14"/>
      <c r="V92" s="14"/>
      <c r="W92" s="14"/>
      <c r="X92" s="86"/>
      <c r="Y92" s="59">
        <f ca="1">Table24[[#This Row],[End Date]]+2-TODAY()</f>
        <v>-149</v>
      </c>
      <c r="Z92" s="14">
        <f>IF(ISBLANK(Table24[[#This Row],[Roster Received By]]),1,0)</f>
        <v>1</v>
      </c>
      <c r="AA92" s="14">
        <f ca="1">IF(Table24[[#This Row],[Start Date]]&gt;TODAY(),1,)</f>
        <v>0</v>
      </c>
    </row>
    <row r="93" spans="1:27" s="93" customFormat="1" ht="16.5" customHeight="1" x14ac:dyDescent="0.25">
      <c r="A93" s="52"/>
      <c r="B93" s="86" t="s">
        <v>55</v>
      </c>
      <c r="C93" s="87" t="s">
        <v>104</v>
      </c>
      <c r="D93" s="87" t="s">
        <v>105</v>
      </c>
      <c r="E93" s="86" t="s">
        <v>174</v>
      </c>
      <c r="F93" s="56">
        <v>45670</v>
      </c>
      <c r="G93" s="56">
        <v>45674</v>
      </c>
      <c r="H93" s="89"/>
      <c r="I93" s="88">
        <v>0.33333333333333331</v>
      </c>
      <c r="J93" s="88"/>
      <c r="K93" s="88"/>
      <c r="L93" s="88"/>
      <c r="M93" s="88">
        <v>0.33333333333333331</v>
      </c>
      <c r="N93" s="88"/>
      <c r="O93" s="86" t="s">
        <v>289</v>
      </c>
      <c r="P93" s="86"/>
      <c r="Q93" s="14">
        <v>25</v>
      </c>
      <c r="R93" s="14">
        <v>5</v>
      </c>
      <c r="S93" s="14"/>
      <c r="T93" s="90"/>
      <c r="U93" s="14"/>
      <c r="V93" s="14"/>
      <c r="W93" s="14"/>
      <c r="X93" s="86"/>
      <c r="Y93" s="59">
        <f ca="1">Table24[[#This Row],[End Date]]+2-TODAY()</f>
        <v>-142</v>
      </c>
      <c r="Z93" s="14">
        <f>IF(ISBLANK(Table24[[#This Row],[Roster Received By]]),1,0)</f>
        <v>1</v>
      </c>
      <c r="AA93" s="14">
        <f ca="1">IF(Table24[[#This Row],[Start Date]]&gt;TODAY(),1,)</f>
        <v>0</v>
      </c>
    </row>
    <row r="94" spans="1:27" s="93" customFormat="1" ht="14.25" customHeight="1" x14ac:dyDescent="0.25">
      <c r="A94" s="52"/>
      <c r="B94" s="86" t="s">
        <v>55</v>
      </c>
      <c r="C94" s="87" t="s">
        <v>104</v>
      </c>
      <c r="D94" s="87" t="s">
        <v>105</v>
      </c>
      <c r="E94" s="86" t="s">
        <v>174</v>
      </c>
      <c r="F94" s="89">
        <v>45810</v>
      </c>
      <c r="G94" s="89">
        <v>45814</v>
      </c>
      <c r="H94" s="92"/>
      <c r="I94" s="92">
        <v>0.33333333333333331</v>
      </c>
      <c r="J94" s="92"/>
      <c r="K94" s="92"/>
      <c r="L94" s="92"/>
      <c r="M94" s="88">
        <v>0.33333333333333331</v>
      </c>
      <c r="N94" s="89"/>
      <c r="O94" s="86" t="s">
        <v>289</v>
      </c>
      <c r="P94" s="86"/>
      <c r="Q94" s="14">
        <v>25</v>
      </c>
      <c r="R94" s="14">
        <v>5</v>
      </c>
      <c r="S94" s="14"/>
      <c r="T94" s="90"/>
      <c r="U94" s="14"/>
      <c r="V94" s="14"/>
      <c r="W94" s="14"/>
      <c r="X94" s="86"/>
      <c r="Y94" s="59">
        <f ca="1">Table24[[#This Row],[End Date]]+2-TODAY()</f>
        <v>-2</v>
      </c>
      <c r="Z94" s="14">
        <f>IF(ISBLANK(Table24[[#This Row],[Roster Received By]]),1,0)</f>
        <v>1</v>
      </c>
      <c r="AA94" s="14">
        <f ca="1">IF(Table24[[#This Row],[Start Date]]&gt;TODAY(),1,)</f>
        <v>0</v>
      </c>
    </row>
    <row r="95" spans="1:27" s="93" customFormat="1" ht="14.25" customHeight="1" x14ac:dyDescent="0.25">
      <c r="A95" s="52"/>
      <c r="B95" s="86" t="s">
        <v>55</v>
      </c>
      <c r="C95" s="87" t="s">
        <v>104</v>
      </c>
      <c r="D95" s="87" t="s">
        <v>105</v>
      </c>
      <c r="E95" s="86" t="s">
        <v>174</v>
      </c>
      <c r="F95" s="89">
        <v>45817</v>
      </c>
      <c r="G95" s="89">
        <v>45821</v>
      </c>
      <c r="H95" s="89"/>
      <c r="I95" s="88">
        <v>0.33333333333333331</v>
      </c>
      <c r="J95" s="88"/>
      <c r="K95" s="88"/>
      <c r="L95" s="88"/>
      <c r="M95" s="88">
        <v>0.33333333333333331</v>
      </c>
      <c r="N95" s="88"/>
      <c r="O95" s="86" t="s">
        <v>289</v>
      </c>
      <c r="P95" s="86"/>
      <c r="Q95" s="14">
        <v>25</v>
      </c>
      <c r="R95" s="14">
        <v>5</v>
      </c>
      <c r="S95" s="14"/>
      <c r="T95" s="90"/>
      <c r="U95" s="14"/>
      <c r="V95" s="14"/>
      <c r="W95" s="14"/>
      <c r="X95" s="86"/>
      <c r="Y95" s="59">
        <f ca="1">Table24[[#This Row],[End Date]]+2-TODAY()</f>
        <v>5</v>
      </c>
      <c r="Z95" s="14">
        <f>IF(ISBLANK(Table24[[#This Row],[Roster Received By]]),1,0)</f>
        <v>1</v>
      </c>
      <c r="AA95" s="14">
        <f ca="1">IF(Table24[[#This Row],[Start Date]]&gt;TODAY(),1,)</f>
        <v>0</v>
      </c>
    </row>
    <row r="96" spans="1:27" s="93" customFormat="1" ht="14.25" customHeight="1" x14ac:dyDescent="0.25">
      <c r="A96" s="52"/>
      <c r="B96" s="86" t="s">
        <v>55</v>
      </c>
      <c r="C96" s="87" t="s">
        <v>104</v>
      </c>
      <c r="D96" s="87" t="s">
        <v>105</v>
      </c>
      <c r="E96" s="86" t="s">
        <v>174</v>
      </c>
      <c r="F96" s="89">
        <v>45894</v>
      </c>
      <c r="G96" s="89">
        <v>45898</v>
      </c>
      <c r="H96" s="95"/>
      <c r="I96" s="95">
        <v>0.33333333333333331</v>
      </c>
      <c r="J96" s="89"/>
      <c r="K96" s="89"/>
      <c r="L96" s="89"/>
      <c r="M96" s="88">
        <v>0.33333333333333331</v>
      </c>
      <c r="N96" s="89"/>
      <c r="O96" s="86" t="s">
        <v>289</v>
      </c>
      <c r="P96" s="86"/>
      <c r="Q96" s="14">
        <v>25</v>
      </c>
      <c r="R96" s="14">
        <v>5</v>
      </c>
      <c r="S96" s="14"/>
      <c r="T96" s="90"/>
      <c r="U96" s="14"/>
      <c r="V96" s="14"/>
      <c r="W96" s="14"/>
      <c r="X96" s="86"/>
      <c r="Y96" s="59">
        <f ca="1">Table24[[#This Row],[End Date]]+2-TODAY()</f>
        <v>82</v>
      </c>
      <c r="Z96" s="14">
        <f>IF(ISBLANK(Table24[[#This Row],[Roster Received By]]),1,0)</f>
        <v>1</v>
      </c>
      <c r="AA96" s="14">
        <f ca="1">IF(Table24[[#This Row],[Start Date]]&gt;TODAY(),1,)</f>
        <v>1</v>
      </c>
    </row>
    <row r="97" spans="1:27" s="93" customFormat="1" ht="14.25" customHeight="1" x14ac:dyDescent="0.25">
      <c r="A97" s="52"/>
      <c r="B97" s="86" t="s">
        <v>55</v>
      </c>
      <c r="C97" s="87" t="s">
        <v>104</v>
      </c>
      <c r="D97" s="87" t="s">
        <v>105</v>
      </c>
      <c r="E97" s="54" t="s">
        <v>179</v>
      </c>
      <c r="F97" s="89">
        <v>45712</v>
      </c>
      <c r="G97" s="89">
        <v>45716</v>
      </c>
      <c r="H97" s="92"/>
      <c r="I97" s="92">
        <v>0.33333333333333331</v>
      </c>
      <c r="J97" s="89"/>
      <c r="K97" s="89"/>
      <c r="L97" s="89"/>
      <c r="M97" s="89"/>
      <c r="N97" s="88">
        <v>0.33333333333333331</v>
      </c>
      <c r="O97" s="86" t="s">
        <v>289</v>
      </c>
      <c r="P97" s="86"/>
      <c r="Q97" s="14">
        <v>25</v>
      </c>
      <c r="R97" s="14">
        <v>5</v>
      </c>
      <c r="S97" s="14"/>
      <c r="T97" s="90"/>
      <c r="U97" s="14"/>
      <c r="V97" s="14"/>
      <c r="W97" s="14"/>
      <c r="X97" s="86"/>
      <c r="Y97" s="59">
        <f ca="1">Table24[[#This Row],[End Date]]+2-TODAY()</f>
        <v>-100</v>
      </c>
      <c r="Z97" s="14">
        <f>IF(ISBLANK(Table24[[#This Row],[Roster Received By]]),1,0)</f>
        <v>1</v>
      </c>
      <c r="AA97" s="14">
        <f ca="1">IF(Table24[[#This Row],[Start Date]]&gt;TODAY(),1,)</f>
        <v>0</v>
      </c>
    </row>
    <row r="98" spans="1:27" s="93" customFormat="1" ht="14.25" customHeight="1" x14ac:dyDescent="0.25">
      <c r="A98" s="52"/>
      <c r="B98" s="86" t="s">
        <v>55</v>
      </c>
      <c r="C98" s="87" t="s">
        <v>104</v>
      </c>
      <c r="D98" s="87" t="s">
        <v>105</v>
      </c>
      <c r="E98" s="54" t="s">
        <v>179</v>
      </c>
      <c r="F98" s="89">
        <v>45719</v>
      </c>
      <c r="G98" s="89">
        <v>45723</v>
      </c>
      <c r="H98" s="92"/>
      <c r="I98" s="92">
        <v>0.33333333333333331</v>
      </c>
      <c r="J98" s="89"/>
      <c r="K98" s="89"/>
      <c r="L98" s="89"/>
      <c r="M98" s="89"/>
      <c r="N98" s="88">
        <v>0.33333333333333331</v>
      </c>
      <c r="O98" s="86" t="s">
        <v>289</v>
      </c>
      <c r="P98" s="86"/>
      <c r="Q98" s="14">
        <v>25</v>
      </c>
      <c r="R98" s="14">
        <v>5</v>
      </c>
      <c r="S98" s="14"/>
      <c r="T98" s="90"/>
      <c r="U98" s="14"/>
      <c r="V98" s="14"/>
      <c r="W98" s="14"/>
      <c r="X98" s="86"/>
      <c r="Y98" s="59">
        <f ca="1">Table24[[#This Row],[End Date]]+2-TODAY()</f>
        <v>-93</v>
      </c>
      <c r="Z98" s="14">
        <f>IF(ISBLANK(Table24[[#This Row],[Roster Received By]]),1,0)</f>
        <v>1</v>
      </c>
      <c r="AA98" s="14">
        <f ca="1">IF(Table24[[#This Row],[Start Date]]&gt;TODAY(),1,)</f>
        <v>0</v>
      </c>
    </row>
    <row r="99" spans="1:27" s="93" customFormat="1" ht="14.25" customHeight="1" x14ac:dyDescent="0.25">
      <c r="A99" s="52"/>
      <c r="B99" s="86" t="s">
        <v>55</v>
      </c>
      <c r="C99" s="87" t="s">
        <v>104</v>
      </c>
      <c r="D99" s="87" t="s">
        <v>105</v>
      </c>
      <c r="E99" s="86" t="s">
        <v>168</v>
      </c>
      <c r="F99" s="56">
        <v>45642</v>
      </c>
      <c r="G99" s="89">
        <v>45646</v>
      </c>
      <c r="H99" s="89"/>
      <c r="I99" s="88">
        <v>0.33333333333333331</v>
      </c>
      <c r="J99" s="88"/>
      <c r="K99" s="88"/>
      <c r="L99" s="88"/>
      <c r="M99" s="88"/>
      <c r="N99" s="88"/>
      <c r="O99" s="86" t="s">
        <v>289</v>
      </c>
      <c r="P99" s="86"/>
      <c r="Q99" s="14">
        <v>25</v>
      </c>
      <c r="R99" s="14">
        <v>5</v>
      </c>
      <c r="S99" s="14"/>
      <c r="T99" s="90"/>
      <c r="U99" s="14"/>
      <c r="V99" s="14"/>
      <c r="W99" s="14"/>
      <c r="X99" s="86"/>
      <c r="Y99" s="59">
        <f ca="1">Table24[[#This Row],[End Date]]+2-TODAY()</f>
        <v>-170</v>
      </c>
      <c r="Z99" s="14">
        <f>IF(ISBLANK(Table24[[#This Row],[Roster Received By]]),1,0)</f>
        <v>1</v>
      </c>
      <c r="AA99" s="14">
        <f ca="1">IF(Table24[[#This Row],[Start Date]]&gt;TODAY(),1,)</f>
        <v>0</v>
      </c>
    </row>
    <row r="100" spans="1:27" s="122" customFormat="1" x14ac:dyDescent="0.25">
      <c r="A100" s="52"/>
      <c r="B100" s="86" t="s">
        <v>55</v>
      </c>
      <c r="C100" s="87" t="s">
        <v>104</v>
      </c>
      <c r="D100" s="87" t="s">
        <v>105</v>
      </c>
      <c r="E100" s="86" t="s">
        <v>168</v>
      </c>
      <c r="F100" s="89">
        <v>45894</v>
      </c>
      <c r="G100" s="89">
        <v>45898</v>
      </c>
      <c r="H100" s="92"/>
      <c r="I100" s="88">
        <v>0.33333333333333331</v>
      </c>
      <c r="J100" s="89"/>
      <c r="K100" s="89"/>
      <c r="L100" s="89"/>
      <c r="M100" s="89"/>
      <c r="N100" s="89"/>
      <c r="O100" s="86" t="s">
        <v>289</v>
      </c>
      <c r="P100" s="86"/>
      <c r="Q100" s="14">
        <v>25</v>
      </c>
      <c r="R100" s="14">
        <v>5</v>
      </c>
      <c r="S100" s="14"/>
      <c r="T100" s="90"/>
      <c r="U100" s="14"/>
      <c r="V100" s="14"/>
      <c r="W100" s="14"/>
      <c r="X100" s="86"/>
      <c r="Y100" s="59">
        <f ca="1">Table24[[#This Row],[End Date]]+2-TODAY()</f>
        <v>82</v>
      </c>
      <c r="Z100" s="14">
        <f>IF(ISBLANK(Table24[[#This Row],[Roster Received By]]),1,0)</f>
        <v>1</v>
      </c>
      <c r="AA100" s="14">
        <f ca="1">IF(Table24[[#This Row],[Start Date]]&gt;TODAY(),1,)</f>
        <v>1</v>
      </c>
    </row>
    <row r="101" spans="1:27" s="122" customFormat="1" x14ac:dyDescent="0.25">
      <c r="A101" s="52"/>
      <c r="B101" s="86" t="s">
        <v>55</v>
      </c>
      <c r="C101" s="87" t="s">
        <v>104</v>
      </c>
      <c r="D101" s="87" t="s">
        <v>105</v>
      </c>
      <c r="E101" s="86" t="s">
        <v>178</v>
      </c>
      <c r="F101" s="85">
        <v>45775</v>
      </c>
      <c r="G101" s="85">
        <v>45779</v>
      </c>
      <c r="H101" s="56"/>
      <c r="I101" s="88">
        <v>0.33333333333333331</v>
      </c>
      <c r="J101" s="88">
        <v>0.33333333333333331</v>
      </c>
      <c r="K101" s="88"/>
      <c r="L101" s="88"/>
      <c r="M101" s="88"/>
      <c r="N101" s="88"/>
      <c r="O101" s="86" t="s">
        <v>289</v>
      </c>
      <c r="P101" s="86"/>
      <c r="Q101" s="14">
        <v>25</v>
      </c>
      <c r="R101" s="14">
        <v>5</v>
      </c>
      <c r="S101" s="14"/>
      <c r="T101" s="90"/>
      <c r="U101" s="14"/>
      <c r="V101" s="14"/>
      <c r="W101" s="14"/>
      <c r="X101" s="86"/>
      <c r="Y101" s="59">
        <f ca="1">Table24[[#This Row],[End Date]]+2-TODAY()</f>
        <v>-37</v>
      </c>
      <c r="Z101" s="14">
        <f>IF(ISBLANK(Table24[[#This Row],[Roster Received By]]),1,0)</f>
        <v>1</v>
      </c>
      <c r="AA101" s="14">
        <f ca="1">IF(Table24[[#This Row],[Start Date]]&gt;TODAY(),1,)</f>
        <v>0</v>
      </c>
    </row>
    <row r="102" spans="1:27" s="122" customFormat="1" x14ac:dyDescent="0.25">
      <c r="A102" s="52"/>
      <c r="B102" s="86" t="s">
        <v>55</v>
      </c>
      <c r="C102" s="87" t="s">
        <v>104</v>
      </c>
      <c r="D102" s="87" t="s">
        <v>105</v>
      </c>
      <c r="E102" s="86" t="s">
        <v>178</v>
      </c>
      <c r="F102" s="89">
        <v>45782</v>
      </c>
      <c r="G102" s="89">
        <v>45786</v>
      </c>
      <c r="H102" s="89"/>
      <c r="I102" s="88">
        <v>0.33333333333333331</v>
      </c>
      <c r="J102" s="88">
        <v>0.33333333333333331</v>
      </c>
      <c r="K102" s="88"/>
      <c r="L102" s="88"/>
      <c r="M102" s="88"/>
      <c r="N102" s="88"/>
      <c r="O102" s="86" t="s">
        <v>289</v>
      </c>
      <c r="P102" s="86"/>
      <c r="Q102" s="14">
        <v>25</v>
      </c>
      <c r="R102" s="14">
        <v>5</v>
      </c>
      <c r="S102" s="14"/>
      <c r="T102" s="90"/>
      <c r="U102" s="14"/>
      <c r="V102" s="14"/>
      <c r="W102" s="14"/>
      <c r="X102" s="86"/>
      <c r="Y102" s="59">
        <f ca="1">Table24[[#This Row],[End Date]]+2-TODAY()</f>
        <v>-30</v>
      </c>
      <c r="Z102" s="14">
        <f>IF(ISBLANK(Table24[[#This Row],[Roster Received By]]),1,0)</f>
        <v>1</v>
      </c>
      <c r="AA102" s="14">
        <f ca="1">IF(Table24[[#This Row],[Start Date]]&gt;TODAY(),1,)</f>
        <v>0</v>
      </c>
    </row>
    <row r="103" spans="1:27" s="93" customFormat="1" ht="14.25" customHeight="1" x14ac:dyDescent="0.25">
      <c r="A103" s="52"/>
      <c r="B103" s="86" t="s">
        <v>55</v>
      </c>
      <c r="C103" s="87" t="s">
        <v>104</v>
      </c>
      <c r="D103" s="87" t="s">
        <v>105</v>
      </c>
      <c r="E103" s="86" t="s">
        <v>246</v>
      </c>
      <c r="F103" s="89">
        <v>45754</v>
      </c>
      <c r="G103" s="89">
        <v>45758</v>
      </c>
      <c r="H103" s="89"/>
      <c r="I103" s="88">
        <v>0.33333333333333331</v>
      </c>
      <c r="J103" s="88"/>
      <c r="K103" s="88"/>
      <c r="L103" s="88"/>
      <c r="M103" s="88"/>
      <c r="N103" s="88"/>
      <c r="O103" s="86" t="s">
        <v>289</v>
      </c>
      <c r="P103" s="86"/>
      <c r="Q103" s="14">
        <v>25</v>
      </c>
      <c r="R103" s="14">
        <v>5</v>
      </c>
      <c r="S103" s="14"/>
      <c r="T103" s="90"/>
      <c r="U103" s="14"/>
      <c r="V103" s="14"/>
      <c r="W103" s="14"/>
      <c r="X103" s="86"/>
      <c r="Y103" s="59">
        <f ca="1">Table24[[#This Row],[End Date]]+2-TODAY()</f>
        <v>-58</v>
      </c>
      <c r="Z103" s="14">
        <f>IF(ISBLANK(Table24[[#This Row],[Roster Received By]]),1,0)</f>
        <v>1</v>
      </c>
      <c r="AA103" s="14">
        <f ca="1">IF(Table24[[#This Row],[Start Date]]&gt;TODAY(),1,)</f>
        <v>0</v>
      </c>
    </row>
    <row r="104" spans="1:27" s="93" customFormat="1" ht="16.5" customHeight="1" x14ac:dyDescent="0.25">
      <c r="A104" s="52"/>
      <c r="B104" s="86" t="s">
        <v>55</v>
      </c>
      <c r="C104" s="87" t="s">
        <v>104</v>
      </c>
      <c r="D104" s="87" t="s">
        <v>105</v>
      </c>
      <c r="E104" s="86" t="s">
        <v>246</v>
      </c>
      <c r="F104" s="89">
        <v>45761</v>
      </c>
      <c r="G104" s="89">
        <v>45765</v>
      </c>
      <c r="H104" s="89"/>
      <c r="I104" s="88">
        <v>0.33333333333333331</v>
      </c>
      <c r="J104" s="88"/>
      <c r="K104" s="88"/>
      <c r="L104" s="88"/>
      <c r="M104" s="88"/>
      <c r="N104" s="88"/>
      <c r="O104" s="86" t="s">
        <v>289</v>
      </c>
      <c r="P104" s="86"/>
      <c r="Q104" s="14">
        <v>25</v>
      </c>
      <c r="R104" s="14">
        <v>5</v>
      </c>
      <c r="S104" s="14"/>
      <c r="T104" s="90"/>
      <c r="U104" s="14"/>
      <c r="V104" s="14"/>
      <c r="W104" s="94"/>
      <c r="X104" s="86"/>
      <c r="Y104" s="59">
        <f ca="1">Table24[[#This Row],[End Date]]+2-TODAY()</f>
        <v>-51</v>
      </c>
      <c r="Z104" s="14">
        <f>IF(ISBLANK(Table24[[#This Row],[Roster Received By]]),1,0)</f>
        <v>1</v>
      </c>
      <c r="AA104" s="14">
        <f ca="1">IF(Table24[[#This Row],[Start Date]]&gt;TODAY(),1,)</f>
        <v>0</v>
      </c>
    </row>
    <row r="105" spans="1:27" s="93" customFormat="1" ht="14.25" customHeight="1" x14ac:dyDescent="0.25">
      <c r="A105" s="52"/>
      <c r="B105" s="86" t="s">
        <v>55</v>
      </c>
      <c r="C105" s="87" t="s">
        <v>104</v>
      </c>
      <c r="D105" s="87" t="s">
        <v>105</v>
      </c>
      <c r="E105" s="86" t="s">
        <v>165</v>
      </c>
      <c r="F105" s="89">
        <v>45628</v>
      </c>
      <c r="G105" s="89">
        <v>45632</v>
      </c>
      <c r="H105" s="92"/>
      <c r="I105" s="88">
        <v>0.33333333333333331</v>
      </c>
      <c r="J105" s="89"/>
      <c r="K105" s="89"/>
      <c r="L105" s="89"/>
      <c r="M105" s="89"/>
      <c r="N105" s="89"/>
      <c r="O105" s="86" t="s">
        <v>289</v>
      </c>
      <c r="P105" s="86"/>
      <c r="Q105" s="14">
        <v>25</v>
      </c>
      <c r="R105" s="14">
        <v>5</v>
      </c>
      <c r="S105" s="14"/>
      <c r="T105" s="90"/>
      <c r="U105" s="14"/>
      <c r="V105" s="14"/>
      <c r="W105" s="14"/>
      <c r="X105" s="86"/>
      <c r="Y105" s="59">
        <f ca="1">Table24[[#This Row],[End Date]]+2-TODAY()</f>
        <v>-184</v>
      </c>
      <c r="Z105" s="14">
        <f>IF(ISBLANK(Table24[[#This Row],[Roster Received By]]),1,0)</f>
        <v>1</v>
      </c>
      <c r="AA105" s="14">
        <f ca="1">IF(Table24[[#This Row],[Start Date]]&gt;TODAY(),1,)</f>
        <v>0</v>
      </c>
    </row>
    <row r="106" spans="1:27" s="93" customFormat="1" ht="14.25" customHeight="1" x14ac:dyDescent="0.25">
      <c r="A106" s="52"/>
      <c r="B106" s="86" t="s">
        <v>55</v>
      </c>
      <c r="C106" s="87" t="s">
        <v>104</v>
      </c>
      <c r="D106" s="87" t="s">
        <v>105</v>
      </c>
      <c r="E106" s="86" t="s">
        <v>165</v>
      </c>
      <c r="F106" s="89">
        <v>45635</v>
      </c>
      <c r="G106" s="89">
        <v>45639</v>
      </c>
      <c r="H106" s="92"/>
      <c r="I106" s="88">
        <v>0.33333333333333331</v>
      </c>
      <c r="J106" s="92"/>
      <c r="K106" s="92"/>
      <c r="L106" s="92"/>
      <c r="M106" s="92"/>
      <c r="N106" s="89"/>
      <c r="O106" s="86" t="s">
        <v>289</v>
      </c>
      <c r="P106" s="86"/>
      <c r="Q106" s="14">
        <v>25</v>
      </c>
      <c r="R106" s="14">
        <v>5</v>
      </c>
      <c r="S106" s="14"/>
      <c r="T106" s="90"/>
      <c r="U106" s="14"/>
      <c r="V106" s="14"/>
      <c r="W106" s="14"/>
      <c r="X106" s="86"/>
      <c r="Y106" s="59">
        <f ca="1">Table24[[#This Row],[End Date]]+2-TODAY()</f>
        <v>-177</v>
      </c>
      <c r="Z106" s="14">
        <f>IF(ISBLANK(Table24[[#This Row],[Roster Received By]]),1,0)</f>
        <v>1</v>
      </c>
      <c r="AA106" s="14">
        <f ca="1">IF(Table24[[#This Row],[Start Date]]&gt;TODAY(),1,)</f>
        <v>0</v>
      </c>
    </row>
    <row r="107" spans="1:27" s="123" customFormat="1" ht="14.25" customHeight="1" x14ac:dyDescent="0.25">
      <c r="A107" s="52"/>
      <c r="B107" s="86" t="s">
        <v>55</v>
      </c>
      <c r="C107" s="87" t="s">
        <v>104</v>
      </c>
      <c r="D107" s="87" t="s">
        <v>105</v>
      </c>
      <c r="E107" s="86" t="s">
        <v>168</v>
      </c>
      <c r="F107" s="89">
        <v>45586</v>
      </c>
      <c r="G107" s="89">
        <v>45590</v>
      </c>
      <c r="H107" s="92"/>
      <c r="I107" s="88">
        <v>0.33333333333333331</v>
      </c>
      <c r="J107" s="92"/>
      <c r="K107" s="92"/>
      <c r="L107" s="92"/>
      <c r="M107" s="92"/>
      <c r="N107" s="89"/>
      <c r="O107" s="86" t="s">
        <v>289</v>
      </c>
      <c r="P107" s="86"/>
      <c r="Q107" s="14">
        <v>25</v>
      </c>
      <c r="R107" s="14">
        <v>5</v>
      </c>
      <c r="S107" s="14"/>
      <c r="T107" s="90"/>
      <c r="U107" s="14"/>
      <c r="V107" s="14"/>
      <c r="W107" s="14"/>
      <c r="X107" s="86"/>
      <c r="Y107" s="59">
        <f ca="1">Table24[[#This Row],[End Date]]+2-TODAY()</f>
        <v>-226</v>
      </c>
      <c r="Z107" s="14">
        <f>IF(ISBLANK(Table24[[#This Row],[Roster Received By]]),1,0)</f>
        <v>1</v>
      </c>
      <c r="AA107" s="14">
        <f ca="1">IF(Table24[[#This Row],[Start Date]]&gt;TODAY(),1,)</f>
        <v>0</v>
      </c>
    </row>
    <row r="108" spans="1:27" s="93" customFormat="1" ht="14.25" customHeight="1" x14ac:dyDescent="0.25">
      <c r="A108" s="52"/>
      <c r="B108" s="86" t="s">
        <v>55</v>
      </c>
      <c r="C108" s="87" t="s">
        <v>104</v>
      </c>
      <c r="D108" s="87" t="s">
        <v>105</v>
      </c>
      <c r="E108" s="86" t="s">
        <v>168</v>
      </c>
      <c r="F108" s="89">
        <v>45593</v>
      </c>
      <c r="G108" s="89">
        <v>45597</v>
      </c>
      <c r="H108" s="89"/>
      <c r="I108" s="88">
        <v>0.33333333333333331</v>
      </c>
      <c r="J108" s="88"/>
      <c r="K108" s="88"/>
      <c r="L108" s="88"/>
      <c r="M108" s="88"/>
      <c r="N108" s="88"/>
      <c r="O108" s="86" t="s">
        <v>289</v>
      </c>
      <c r="P108" s="86"/>
      <c r="Q108" s="14">
        <v>25</v>
      </c>
      <c r="R108" s="14">
        <v>5</v>
      </c>
      <c r="S108" s="14"/>
      <c r="T108" s="90"/>
      <c r="U108" s="14"/>
      <c r="V108" s="14"/>
      <c r="W108" s="14"/>
      <c r="X108" s="86"/>
      <c r="Y108" s="59">
        <f ca="1">Table24[[#This Row],[End Date]]+2-TODAY()</f>
        <v>-219</v>
      </c>
      <c r="Z108" s="14">
        <f>IF(ISBLANK(Table24[[#This Row],[Roster Received By]]),1,0)</f>
        <v>1</v>
      </c>
      <c r="AA108" s="14">
        <f ca="1">IF(Table24[[#This Row],[Start Date]]&gt;TODAY(),1,)</f>
        <v>0</v>
      </c>
    </row>
    <row r="109" spans="1:27" s="93" customFormat="1" ht="14.25" customHeight="1" x14ac:dyDescent="0.25">
      <c r="A109" s="52"/>
      <c r="B109" s="86" t="s">
        <v>55</v>
      </c>
      <c r="C109" s="87" t="s">
        <v>104</v>
      </c>
      <c r="D109" s="87" t="s">
        <v>105</v>
      </c>
      <c r="E109" s="86" t="s">
        <v>168</v>
      </c>
      <c r="F109" s="89">
        <v>45663</v>
      </c>
      <c r="G109" s="89">
        <v>45667</v>
      </c>
      <c r="H109" s="89"/>
      <c r="I109" s="88">
        <v>0.33333333333333331</v>
      </c>
      <c r="J109" s="88"/>
      <c r="K109" s="88"/>
      <c r="L109" s="88"/>
      <c r="M109" s="88"/>
      <c r="N109" s="88"/>
      <c r="O109" s="86" t="s">
        <v>289</v>
      </c>
      <c r="P109" s="86"/>
      <c r="Q109" s="14">
        <v>25</v>
      </c>
      <c r="R109" s="14">
        <v>5</v>
      </c>
      <c r="S109" s="14"/>
      <c r="T109" s="90"/>
      <c r="U109" s="14"/>
      <c r="V109" s="14"/>
      <c r="W109" s="14"/>
      <c r="X109" s="86"/>
      <c r="Y109" s="59">
        <f ca="1">Table24[[#This Row],[End Date]]+2-TODAY()</f>
        <v>-149</v>
      </c>
      <c r="Z109" s="14">
        <f>IF(ISBLANK(Table24[[#This Row],[Roster Received By]]),1,0)</f>
        <v>1</v>
      </c>
      <c r="AA109" s="14">
        <f ca="1">IF(Table24[[#This Row],[Start Date]]&gt;TODAY(),1,)</f>
        <v>0</v>
      </c>
    </row>
    <row r="110" spans="1:27" s="93" customFormat="1" ht="14.25" customHeight="1" x14ac:dyDescent="0.25">
      <c r="A110" s="52"/>
      <c r="B110" s="86" t="s">
        <v>55</v>
      </c>
      <c r="C110" s="87" t="s">
        <v>104</v>
      </c>
      <c r="D110" s="87" t="s">
        <v>105</v>
      </c>
      <c r="E110" s="86" t="s">
        <v>168</v>
      </c>
      <c r="F110" s="56">
        <v>45670</v>
      </c>
      <c r="G110" s="56">
        <v>45674</v>
      </c>
      <c r="H110" s="88"/>
      <c r="I110" s="88">
        <v>0.33333333333333331</v>
      </c>
      <c r="J110" s="89"/>
      <c r="K110" s="89"/>
      <c r="L110" s="89"/>
      <c r="M110" s="89"/>
      <c r="N110" s="89"/>
      <c r="O110" s="86" t="s">
        <v>289</v>
      </c>
      <c r="P110" s="86"/>
      <c r="Q110" s="14">
        <v>25</v>
      </c>
      <c r="R110" s="14">
        <v>5</v>
      </c>
      <c r="S110" s="14"/>
      <c r="T110" s="90"/>
      <c r="U110" s="14"/>
      <c r="V110" s="14"/>
      <c r="W110" s="14"/>
      <c r="X110" s="86"/>
      <c r="Y110" s="59">
        <f ca="1">Table24[[#This Row],[End Date]]+2-TODAY()</f>
        <v>-142</v>
      </c>
      <c r="Z110" s="14">
        <f>IF(ISBLANK(Table24[[#This Row],[Roster Received By]]),1,0)</f>
        <v>1</v>
      </c>
      <c r="AA110" s="14">
        <f ca="1">IF(Table24[[#This Row],[Start Date]]&gt;TODAY(),1,)</f>
        <v>0</v>
      </c>
    </row>
    <row r="111" spans="1:27" s="93" customFormat="1" ht="14.25" customHeight="1" x14ac:dyDescent="0.25">
      <c r="A111" s="52"/>
      <c r="B111" s="86" t="s">
        <v>55</v>
      </c>
      <c r="C111" s="87" t="s">
        <v>104</v>
      </c>
      <c r="D111" s="87" t="s">
        <v>105</v>
      </c>
      <c r="E111" s="86" t="s">
        <v>168</v>
      </c>
      <c r="F111" s="89">
        <v>45754</v>
      </c>
      <c r="G111" s="89">
        <v>45758</v>
      </c>
      <c r="H111" s="89"/>
      <c r="I111" s="88">
        <v>0.33333333333333331</v>
      </c>
      <c r="J111" s="88"/>
      <c r="K111" s="88"/>
      <c r="L111" s="88"/>
      <c r="M111" s="88"/>
      <c r="N111" s="88"/>
      <c r="O111" s="86" t="s">
        <v>289</v>
      </c>
      <c r="P111" s="86"/>
      <c r="Q111" s="14">
        <v>25</v>
      </c>
      <c r="R111" s="14">
        <v>5</v>
      </c>
      <c r="S111" s="14"/>
      <c r="T111" s="90"/>
      <c r="U111" s="14"/>
      <c r="V111" s="14"/>
      <c r="W111" s="87"/>
      <c r="X111" s="86"/>
      <c r="Y111" s="59">
        <f ca="1">Table24[[#This Row],[End Date]]+2-TODAY()</f>
        <v>-58</v>
      </c>
      <c r="Z111" s="14">
        <f>IF(ISBLANK(Table24[[#This Row],[Roster Received By]]),1,0)</f>
        <v>1</v>
      </c>
      <c r="AA111" s="14">
        <f ca="1">IF(Table24[[#This Row],[Start Date]]&gt;TODAY(),1,)</f>
        <v>0</v>
      </c>
    </row>
    <row r="112" spans="1:27" s="93" customFormat="1" ht="14.25" customHeight="1" x14ac:dyDescent="0.25">
      <c r="A112" s="52"/>
      <c r="B112" s="86" t="s">
        <v>55</v>
      </c>
      <c r="C112" s="87" t="s">
        <v>104</v>
      </c>
      <c r="D112" s="87" t="s">
        <v>105</v>
      </c>
      <c r="E112" s="86" t="s">
        <v>168</v>
      </c>
      <c r="F112" s="89">
        <v>45761</v>
      </c>
      <c r="G112" s="89">
        <v>45765</v>
      </c>
      <c r="H112" s="89"/>
      <c r="I112" s="88">
        <v>0.33333333333333331</v>
      </c>
      <c r="J112" s="88"/>
      <c r="K112" s="88"/>
      <c r="L112" s="88"/>
      <c r="M112" s="88"/>
      <c r="N112" s="88"/>
      <c r="O112" s="86" t="s">
        <v>289</v>
      </c>
      <c r="P112" s="86"/>
      <c r="Q112" s="14">
        <v>25</v>
      </c>
      <c r="R112" s="14">
        <v>5</v>
      </c>
      <c r="S112" s="14"/>
      <c r="T112" s="90"/>
      <c r="U112" s="14"/>
      <c r="V112" s="14"/>
      <c r="W112" s="14"/>
      <c r="X112" s="86"/>
      <c r="Y112" s="59">
        <f ca="1">Table24[[#This Row],[End Date]]+2-TODAY()</f>
        <v>-51</v>
      </c>
      <c r="Z112" s="14">
        <f>IF(ISBLANK(Table24[[#This Row],[Roster Received By]]),1,0)</f>
        <v>1</v>
      </c>
      <c r="AA112" s="14">
        <f ca="1">IF(Table24[[#This Row],[Start Date]]&gt;TODAY(),1,)</f>
        <v>0</v>
      </c>
    </row>
    <row r="113" spans="1:27" s="93" customFormat="1" ht="14.25" customHeight="1" x14ac:dyDescent="0.25">
      <c r="A113" s="52"/>
      <c r="B113" s="86" t="s">
        <v>55</v>
      </c>
      <c r="C113" s="87" t="s">
        <v>104</v>
      </c>
      <c r="D113" s="87" t="s">
        <v>105</v>
      </c>
      <c r="E113" s="86" t="s">
        <v>168</v>
      </c>
      <c r="F113" s="89">
        <v>45845</v>
      </c>
      <c r="G113" s="89">
        <v>45849</v>
      </c>
      <c r="H113" s="89"/>
      <c r="I113" s="88">
        <v>0.33333333333333331</v>
      </c>
      <c r="J113" s="88"/>
      <c r="K113" s="88"/>
      <c r="L113" s="88"/>
      <c r="M113" s="88"/>
      <c r="N113" s="88"/>
      <c r="O113" s="86" t="s">
        <v>289</v>
      </c>
      <c r="P113" s="86"/>
      <c r="Q113" s="14">
        <v>25</v>
      </c>
      <c r="R113" s="14">
        <v>5</v>
      </c>
      <c r="S113" s="14"/>
      <c r="T113" s="90"/>
      <c r="U113" s="14"/>
      <c r="V113" s="14"/>
      <c r="W113" s="91"/>
      <c r="X113" s="86"/>
      <c r="Y113" s="59">
        <f ca="1">Table24[[#This Row],[End Date]]+2-TODAY()</f>
        <v>33</v>
      </c>
      <c r="Z113" s="14">
        <f>IF(ISBLANK(Table24[[#This Row],[Roster Received By]]),1,0)</f>
        <v>1</v>
      </c>
      <c r="AA113" s="14">
        <f ca="1">IF(Table24[[#This Row],[Start Date]]&gt;TODAY(),1,)</f>
        <v>1</v>
      </c>
    </row>
    <row r="114" spans="1:27" s="93" customFormat="1" ht="14.25" customHeight="1" x14ac:dyDescent="0.25">
      <c r="A114" s="52"/>
      <c r="B114" s="86" t="s">
        <v>55</v>
      </c>
      <c r="C114" s="87" t="s">
        <v>104</v>
      </c>
      <c r="D114" s="87" t="s">
        <v>105</v>
      </c>
      <c r="E114" s="86" t="s">
        <v>168</v>
      </c>
      <c r="F114" s="56">
        <v>45852</v>
      </c>
      <c r="G114" s="56">
        <v>45856</v>
      </c>
      <c r="H114" s="95"/>
      <c r="I114" s="88">
        <v>0.33333333333333331</v>
      </c>
      <c r="J114" s="89"/>
      <c r="K114" s="89"/>
      <c r="L114" s="89"/>
      <c r="M114" s="89"/>
      <c r="N114" s="89"/>
      <c r="O114" s="86" t="s">
        <v>289</v>
      </c>
      <c r="P114" s="86"/>
      <c r="Q114" s="14">
        <v>25</v>
      </c>
      <c r="R114" s="14">
        <v>5</v>
      </c>
      <c r="S114" s="14"/>
      <c r="T114" s="90"/>
      <c r="U114" s="14"/>
      <c r="V114" s="14"/>
      <c r="W114" s="14"/>
      <c r="X114" s="86"/>
      <c r="Y114" s="59">
        <f ca="1">Table24[[#This Row],[End Date]]+2-TODAY()</f>
        <v>40</v>
      </c>
      <c r="Z114" s="14">
        <f>IF(ISBLANK(Table24[[#This Row],[Roster Received By]]),1,0)</f>
        <v>1</v>
      </c>
      <c r="AA114" s="14">
        <f ca="1">IF(Table24[[#This Row],[Start Date]]&gt;TODAY(),1,)</f>
        <v>1</v>
      </c>
    </row>
    <row r="115" spans="1:27" s="93" customFormat="1" ht="14.25" customHeight="1" x14ac:dyDescent="0.25">
      <c r="A115" s="52"/>
      <c r="B115" s="86" t="s">
        <v>55</v>
      </c>
      <c r="C115" s="87" t="s">
        <v>104</v>
      </c>
      <c r="D115" s="87" t="s">
        <v>105</v>
      </c>
      <c r="E115" s="86" t="s">
        <v>168</v>
      </c>
      <c r="F115" s="56">
        <v>45873</v>
      </c>
      <c r="G115" s="89">
        <v>45877</v>
      </c>
      <c r="H115" s="89"/>
      <c r="I115" s="88">
        <v>0.33333333333333331</v>
      </c>
      <c r="J115" s="88"/>
      <c r="K115" s="88"/>
      <c r="L115" s="88"/>
      <c r="M115" s="88"/>
      <c r="N115" s="88"/>
      <c r="O115" s="86" t="s">
        <v>289</v>
      </c>
      <c r="P115" s="86"/>
      <c r="Q115" s="14">
        <v>25</v>
      </c>
      <c r="R115" s="14">
        <v>5</v>
      </c>
      <c r="S115" s="14"/>
      <c r="T115" s="90"/>
      <c r="U115" s="14"/>
      <c r="V115" s="14"/>
      <c r="W115" s="14"/>
      <c r="X115" s="86"/>
      <c r="Y115" s="59">
        <f ca="1">Table24[[#This Row],[End Date]]+2-TODAY()</f>
        <v>61</v>
      </c>
      <c r="Z115" s="14">
        <f>IF(ISBLANK(Table24[[#This Row],[Roster Received By]]),1,0)</f>
        <v>1</v>
      </c>
      <c r="AA115" s="14">
        <f ca="1">IF(Table24[[#This Row],[Start Date]]&gt;TODAY(),1,)</f>
        <v>1</v>
      </c>
    </row>
    <row r="116" spans="1:27" s="122" customFormat="1" ht="14.25" customHeight="1" x14ac:dyDescent="0.25">
      <c r="A116" s="52"/>
      <c r="B116" s="86" t="s">
        <v>55</v>
      </c>
      <c r="C116" s="87" t="s">
        <v>104</v>
      </c>
      <c r="D116" s="87" t="s">
        <v>105</v>
      </c>
      <c r="E116" s="86" t="s">
        <v>168</v>
      </c>
      <c r="F116" s="89">
        <v>45887</v>
      </c>
      <c r="G116" s="89">
        <v>45891</v>
      </c>
      <c r="H116" s="92"/>
      <c r="I116" s="88">
        <v>0.33333333333333331</v>
      </c>
      <c r="J116" s="89"/>
      <c r="K116" s="89"/>
      <c r="L116" s="89"/>
      <c r="M116" s="89"/>
      <c r="N116" s="89"/>
      <c r="O116" s="86" t="s">
        <v>289</v>
      </c>
      <c r="P116" s="86"/>
      <c r="Q116" s="14">
        <v>25</v>
      </c>
      <c r="R116" s="14">
        <v>5</v>
      </c>
      <c r="S116" s="14"/>
      <c r="T116" s="90"/>
      <c r="U116" s="14"/>
      <c r="V116" s="14"/>
      <c r="W116" s="14"/>
      <c r="X116" s="86"/>
      <c r="Y116" s="59">
        <f ca="1">Table24[[#This Row],[End Date]]+2-TODAY()</f>
        <v>75</v>
      </c>
      <c r="Z116" s="14">
        <f>IF(ISBLANK(Table24[[#This Row],[Roster Received By]]),1,0)</f>
        <v>1</v>
      </c>
      <c r="AA116" s="14">
        <f ca="1">IF(Table24[[#This Row],[Start Date]]&gt;TODAY(),1,)</f>
        <v>1</v>
      </c>
    </row>
    <row r="117" spans="1:27" s="93" customFormat="1" ht="14.25" customHeight="1" x14ac:dyDescent="0.25">
      <c r="A117" s="86"/>
      <c r="B117" s="86" t="s">
        <v>55</v>
      </c>
      <c r="C117" s="87" t="s">
        <v>104</v>
      </c>
      <c r="D117" s="87" t="s">
        <v>105</v>
      </c>
      <c r="E117" s="86" t="s">
        <v>174</v>
      </c>
      <c r="F117" s="89">
        <v>45887</v>
      </c>
      <c r="G117" s="89">
        <v>45891</v>
      </c>
      <c r="H117" s="89"/>
      <c r="I117" s="88"/>
      <c r="J117" s="88"/>
      <c r="K117" s="88"/>
      <c r="L117" s="88"/>
      <c r="M117" s="88">
        <v>0.33333333333333331</v>
      </c>
      <c r="N117" s="88"/>
      <c r="O117" s="86" t="s">
        <v>289</v>
      </c>
      <c r="P117" s="86"/>
      <c r="Q117" s="14">
        <v>25</v>
      </c>
      <c r="R117" s="14">
        <v>5</v>
      </c>
      <c r="S117" s="14"/>
      <c r="T117" s="90"/>
      <c r="U117" s="14"/>
      <c r="V117" s="14"/>
      <c r="W117" s="14"/>
      <c r="X117" s="86"/>
      <c r="Y117" s="59">
        <f ca="1">Table24[[#This Row],[End Date]]+2-TODAY()</f>
        <v>75</v>
      </c>
      <c r="Z117" s="14">
        <f>IF(ISBLANK(Table24[[#This Row],[Roster Received By]]),1,0)</f>
        <v>1</v>
      </c>
      <c r="AA117" s="14">
        <f ca="1">IF(Table24[[#This Row],[Start Date]]&gt;TODAY(),1,)</f>
        <v>1</v>
      </c>
    </row>
    <row r="118" spans="1:27" s="93" customFormat="1" ht="14.25" customHeight="1" x14ac:dyDescent="0.25">
      <c r="A118" s="52"/>
      <c r="B118" s="86" t="s">
        <v>55</v>
      </c>
      <c r="C118" s="87" t="s">
        <v>104</v>
      </c>
      <c r="D118" s="87" t="s">
        <v>105</v>
      </c>
      <c r="E118" s="86" t="s">
        <v>176</v>
      </c>
      <c r="F118" s="89">
        <v>45586</v>
      </c>
      <c r="G118" s="89">
        <v>45590</v>
      </c>
      <c r="H118" s="92"/>
      <c r="I118" s="92"/>
      <c r="J118" s="88">
        <v>0.33333333333333331</v>
      </c>
      <c r="K118" s="92"/>
      <c r="L118" s="92"/>
      <c r="M118" s="92"/>
      <c r="N118" s="89"/>
      <c r="O118" s="86" t="s">
        <v>289</v>
      </c>
      <c r="P118" s="86"/>
      <c r="Q118" s="14">
        <v>25</v>
      </c>
      <c r="R118" s="14">
        <v>5</v>
      </c>
      <c r="S118" s="14"/>
      <c r="T118" s="90"/>
      <c r="U118" s="14"/>
      <c r="V118" s="14"/>
      <c r="W118" s="14"/>
      <c r="X118" s="86"/>
      <c r="Y118" s="59">
        <f ca="1">Table24[[#This Row],[End Date]]+2-TODAY()</f>
        <v>-226</v>
      </c>
      <c r="Z118" s="14">
        <f>IF(ISBLANK(Table24[[#This Row],[Roster Received By]]),1,0)</f>
        <v>1</v>
      </c>
      <c r="AA118" s="14">
        <f ca="1">IF(Table24[[#This Row],[Start Date]]&gt;TODAY(),1,)</f>
        <v>0</v>
      </c>
    </row>
    <row r="119" spans="1:27" s="93" customFormat="1" ht="14.25" customHeight="1" x14ac:dyDescent="0.25">
      <c r="A119" s="52"/>
      <c r="B119" s="86" t="s">
        <v>55</v>
      </c>
      <c r="C119" s="87" t="s">
        <v>104</v>
      </c>
      <c r="D119" s="87" t="s">
        <v>105</v>
      </c>
      <c r="E119" s="86" t="s">
        <v>176</v>
      </c>
      <c r="F119" s="89">
        <v>45593</v>
      </c>
      <c r="G119" s="89">
        <v>45597</v>
      </c>
      <c r="H119" s="88"/>
      <c r="I119" s="88"/>
      <c r="J119" s="88">
        <v>0.33333333333333331</v>
      </c>
      <c r="K119" s="89"/>
      <c r="L119" s="89"/>
      <c r="M119" s="89"/>
      <c r="N119" s="89"/>
      <c r="O119" s="86" t="s">
        <v>289</v>
      </c>
      <c r="P119" s="86"/>
      <c r="Q119" s="14">
        <v>25</v>
      </c>
      <c r="R119" s="14">
        <v>5</v>
      </c>
      <c r="S119" s="14"/>
      <c r="T119" s="90"/>
      <c r="U119" s="14"/>
      <c r="V119" s="14"/>
      <c r="W119" s="14"/>
      <c r="X119" s="86"/>
      <c r="Y119" s="59">
        <f ca="1">Table24[[#This Row],[End Date]]+2-TODAY()</f>
        <v>-219</v>
      </c>
      <c r="Z119" s="14">
        <f>IF(ISBLANK(Table24[[#This Row],[Roster Received By]]),1,0)</f>
        <v>1</v>
      </c>
      <c r="AA119" s="14">
        <f ca="1">IF(Table24[[#This Row],[Start Date]]&gt;TODAY(),1,)</f>
        <v>0</v>
      </c>
    </row>
    <row r="120" spans="1:27" s="93" customFormat="1" ht="14.25" customHeight="1" x14ac:dyDescent="0.25">
      <c r="A120" s="52"/>
      <c r="B120" s="86" t="s">
        <v>55</v>
      </c>
      <c r="C120" s="87" t="s">
        <v>104</v>
      </c>
      <c r="D120" s="87" t="s">
        <v>105</v>
      </c>
      <c r="E120" s="86" t="s">
        <v>176</v>
      </c>
      <c r="F120" s="56">
        <v>45642</v>
      </c>
      <c r="G120" s="89">
        <v>45646</v>
      </c>
      <c r="H120" s="89"/>
      <c r="I120" s="88"/>
      <c r="J120" s="88">
        <v>0.33333333333333331</v>
      </c>
      <c r="K120" s="88"/>
      <c r="L120" s="88"/>
      <c r="M120" s="88"/>
      <c r="N120" s="88"/>
      <c r="O120" s="86" t="s">
        <v>289</v>
      </c>
      <c r="P120" s="86"/>
      <c r="Q120" s="14">
        <v>25</v>
      </c>
      <c r="R120" s="14">
        <v>5</v>
      </c>
      <c r="S120" s="14"/>
      <c r="T120" s="90"/>
      <c r="U120" s="14"/>
      <c r="V120" s="14"/>
      <c r="W120" s="14"/>
      <c r="X120" s="86"/>
      <c r="Y120" s="59">
        <f ca="1">Table24[[#This Row],[End Date]]+2-TODAY()</f>
        <v>-170</v>
      </c>
      <c r="Z120" s="14">
        <f>IF(ISBLANK(Table24[[#This Row],[Roster Received By]]),1,0)</f>
        <v>1</v>
      </c>
      <c r="AA120" s="14">
        <f ca="1">IF(Table24[[#This Row],[Start Date]]&gt;TODAY(),1,)</f>
        <v>0</v>
      </c>
    </row>
    <row r="121" spans="1:27" s="93" customFormat="1" ht="14.25" customHeight="1" x14ac:dyDescent="0.25">
      <c r="A121" s="52"/>
      <c r="B121" s="86" t="s">
        <v>55</v>
      </c>
      <c r="C121" s="87" t="s">
        <v>104</v>
      </c>
      <c r="D121" s="87" t="s">
        <v>105</v>
      </c>
      <c r="E121" s="86" t="s">
        <v>176</v>
      </c>
      <c r="F121" s="89">
        <v>45684</v>
      </c>
      <c r="G121" s="89">
        <v>45688</v>
      </c>
      <c r="H121" s="92"/>
      <c r="I121" s="92"/>
      <c r="J121" s="88">
        <v>0.33333333333333331</v>
      </c>
      <c r="K121" s="89"/>
      <c r="L121" s="89"/>
      <c r="M121" s="89"/>
      <c r="N121" s="89"/>
      <c r="O121" s="86" t="s">
        <v>289</v>
      </c>
      <c r="P121" s="86"/>
      <c r="Q121" s="14">
        <v>25</v>
      </c>
      <c r="R121" s="14">
        <v>5</v>
      </c>
      <c r="S121" s="14"/>
      <c r="T121" s="90"/>
      <c r="U121" s="14"/>
      <c r="V121" s="14"/>
      <c r="W121" s="14"/>
      <c r="X121" s="86"/>
      <c r="Y121" s="59">
        <f ca="1">Table24[[#This Row],[End Date]]+2-TODAY()</f>
        <v>-128</v>
      </c>
      <c r="Z121" s="14">
        <f>IF(ISBLANK(Table24[[#This Row],[Roster Received By]]),1,0)</f>
        <v>1</v>
      </c>
      <c r="AA121" s="14">
        <f ca="1">IF(Table24[[#This Row],[Start Date]]&gt;TODAY(),1,)</f>
        <v>0</v>
      </c>
    </row>
    <row r="122" spans="1:27" s="93" customFormat="1" ht="14.25" customHeight="1" x14ac:dyDescent="0.25">
      <c r="A122" s="52"/>
      <c r="B122" s="86" t="s">
        <v>55</v>
      </c>
      <c r="C122" s="87" t="s">
        <v>104</v>
      </c>
      <c r="D122" s="87" t="s">
        <v>105</v>
      </c>
      <c r="E122" s="86" t="s">
        <v>176</v>
      </c>
      <c r="F122" s="89">
        <v>45691</v>
      </c>
      <c r="G122" s="89">
        <v>45695</v>
      </c>
      <c r="H122" s="92"/>
      <c r="I122" s="92"/>
      <c r="J122" s="88">
        <v>0.33333333333333331</v>
      </c>
      <c r="K122" s="92"/>
      <c r="L122" s="92"/>
      <c r="M122" s="92"/>
      <c r="N122" s="89"/>
      <c r="O122" s="86" t="s">
        <v>289</v>
      </c>
      <c r="P122" s="86"/>
      <c r="Q122" s="14">
        <v>25</v>
      </c>
      <c r="R122" s="14">
        <v>5</v>
      </c>
      <c r="S122" s="14"/>
      <c r="T122" s="90"/>
      <c r="U122" s="14"/>
      <c r="V122" s="14"/>
      <c r="W122" s="14"/>
      <c r="X122" s="86"/>
      <c r="Y122" s="59">
        <f ca="1">Table24[[#This Row],[End Date]]+2-TODAY()</f>
        <v>-121</v>
      </c>
      <c r="Z122" s="14">
        <f>IF(ISBLANK(Table24[[#This Row],[Roster Received By]]),1,0)</f>
        <v>1</v>
      </c>
      <c r="AA122" s="14">
        <f ca="1">IF(Table24[[#This Row],[Start Date]]&gt;TODAY(),1,)</f>
        <v>0</v>
      </c>
    </row>
    <row r="123" spans="1:27" s="93" customFormat="1" ht="14.25" customHeight="1" x14ac:dyDescent="0.25">
      <c r="A123" s="52"/>
      <c r="B123" s="86" t="s">
        <v>55</v>
      </c>
      <c r="C123" s="87" t="s">
        <v>104</v>
      </c>
      <c r="D123" s="87" t="s">
        <v>105</v>
      </c>
      <c r="E123" s="86" t="s">
        <v>176</v>
      </c>
      <c r="F123" s="56">
        <v>45733</v>
      </c>
      <c r="G123" s="56">
        <v>45737</v>
      </c>
      <c r="H123" s="92"/>
      <c r="I123" s="92"/>
      <c r="J123" s="88">
        <v>0.33333333333333331</v>
      </c>
      <c r="K123" s="89"/>
      <c r="L123" s="89"/>
      <c r="M123" s="89"/>
      <c r="N123" s="89"/>
      <c r="O123" s="86" t="s">
        <v>289</v>
      </c>
      <c r="P123" s="86"/>
      <c r="Q123" s="14">
        <v>25</v>
      </c>
      <c r="R123" s="14">
        <v>5</v>
      </c>
      <c r="S123" s="14"/>
      <c r="T123" s="90"/>
      <c r="U123" s="14"/>
      <c r="V123" s="14"/>
      <c r="W123" s="14"/>
      <c r="X123" s="86"/>
      <c r="Y123" s="59">
        <f ca="1">Table24[[#This Row],[End Date]]+2-TODAY()</f>
        <v>-79</v>
      </c>
      <c r="Z123" s="14">
        <f>IF(ISBLANK(Table24[[#This Row],[Roster Received By]]),1,0)</f>
        <v>1</v>
      </c>
      <c r="AA123" s="14">
        <f ca="1">IF(Table24[[#This Row],[Start Date]]&gt;TODAY(),1,)</f>
        <v>0</v>
      </c>
    </row>
    <row r="124" spans="1:27" s="93" customFormat="1" ht="14.25" customHeight="1" x14ac:dyDescent="0.25">
      <c r="A124" s="52"/>
      <c r="B124" s="86" t="s">
        <v>55</v>
      </c>
      <c r="C124" s="87" t="s">
        <v>104</v>
      </c>
      <c r="D124" s="87" t="s">
        <v>105</v>
      </c>
      <c r="E124" s="86" t="s">
        <v>176</v>
      </c>
      <c r="F124" s="89">
        <v>45740</v>
      </c>
      <c r="G124" s="89">
        <v>45744</v>
      </c>
      <c r="H124" s="89"/>
      <c r="I124" s="88"/>
      <c r="J124" s="88">
        <v>0.33333333333333331</v>
      </c>
      <c r="K124" s="88"/>
      <c r="L124" s="88"/>
      <c r="M124" s="88"/>
      <c r="N124" s="88"/>
      <c r="O124" s="86" t="s">
        <v>289</v>
      </c>
      <c r="P124" s="86"/>
      <c r="Q124" s="14">
        <v>25</v>
      </c>
      <c r="R124" s="14">
        <v>5</v>
      </c>
      <c r="S124" s="14"/>
      <c r="T124" s="90"/>
      <c r="U124" s="14"/>
      <c r="V124" s="14"/>
      <c r="W124" s="14"/>
      <c r="X124" s="86"/>
      <c r="Y124" s="59">
        <f ca="1">Table24[[#This Row],[End Date]]+2-TODAY()</f>
        <v>-72</v>
      </c>
      <c r="Z124" s="14">
        <f>IF(ISBLANK(Table24[[#This Row],[Roster Received By]]),1,0)</f>
        <v>1</v>
      </c>
      <c r="AA124" s="14">
        <f ca="1">IF(Table24[[#This Row],[Start Date]]&gt;TODAY(),1,)</f>
        <v>0</v>
      </c>
    </row>
    <row r="125" spans="1:27" s="93" customFormat="1" ht="14.25" customHeight="1" x14ac:dyDescent="0.25">
      <c r="A125" s="52"/>
      <c r="B125" s="86" t="s">
        <v>55</v>
      </c>
      <c r="C125" s="87" t="s">
        <v>104</v>
      </c>
      <c r="D125" s="87" t="s">
        <v>105</v>
      </c>
      <c r="E125" s="86" t="s">
        <v>176</v>
      </c>
      <c r="F125" s="85">
        <v>45775</v>
      </c>
      <c r="G125" s="85">
        <v>45779</v>
      </c>
      <c r="H125" s="56"/>
      <c r="I125" s="88"/>
      <c r="J125" s="88">
        <v>0.33333333333333331</v>
      </c>
      <c r="K125" s="88"/>
      <c r="L125" s="88"/>
      <c r="M125" s="88"/>
      <c r="N125" s="88"/>
      <c r="O125" s="86" t="s">
        <v>289</v>
      </c>
      <c r="P125" s="86"/>
      <c r="Q125" s="14">
        <v>25</v>
      </c>
      <c r="R125" s="14">
        <v>5</v>
      </c>
      <c r="S125" s="14"/>
      <c r="T125" s="90"/>
      <c r="U125" s="14"/>
      <c r="V125" s="14"/>
      <c r="W125" s="14"/>
      <c r="X125" s="86"/>
      <c r="Y125" s="59">
        <f ca="1">Table24[[#This Row],[End Date]]+2-TODAY()</f>
        <v>-37</v>
      </c>
      <c r="Z125" s="14">
        <f>IF(ISBLANK(Table24[[#This Row],[Roster Received By]]),1,0)</f>
        <v>1</v>
      </c>
      <c r="AA125" s="14">
        <f ca="1">IF(Table24[[#This Row],[Start Date]]&gt;TODAY(),1,)</f>
        <v>0</v>
      </c>
    </row>
    <row r="126" spans="1:27" s="93" customFormat="1" ht="14.25" customHeight="1" x14ac:dyDescent="0.25">
      <c r="A126" s="86"/>
      <c r="B126" s="86" t="s">
        <v>55</v>
      </c>
      <c r="C126" s="87" t="s">
        <v>104</v>
      </c>
      <c r="D126" s="87" t="s">
        <v>105</v>
      </c>
      <c r="E126" s="86" t="s">
        <v>176</v>
      </c>
      <c r="F126" s="89">
        <v>45782</v>
      </c>
      <c r="G126" s="89">
        <v>45786</v>
      </c>
      <c r="H126" s="89"/>
      <c r="I126" s="88"/>
      <c r="J126" s="88">
        <v>0.33333333333333331</v>
      </c>
      <c r="K126" s="88"/>
      <c r="L126" s="88"/>
      <c r="M126" s="88"/>
      <c r="N126" s="88"/>
      <c r="O126" s="86" t="s">
        <v>289</v>
      </c>
      <c r="P126" s="86"/>
      <c r="Q126" s="14">
        <v>25</v>
      </c>
      <c r="R126" s="14">
        <v>5</v>
      </c>
      <c r="S126" s="14"/>
      <c r="T126" s="90"/>
      <c r="U126" s="14"/>
      <c r="V126" s="14"/>
      <c r="W126" s="14"/>
      <c r="X126" s="86"/>
      <c r="Y126" s="59">
        <f ca="1">Table24[[#This Row],[End Date]]+2-TODAY()</f>
        <v>-30</v>
      </c>
      <c r="Z126" s="14">
        <f>IF(ISBLANK(Table24[[#This Row],[Roster Received By]]),1,0)</f>
        <v>1</v>
      </c>
      <c r="AA126" s="14">
        <f ca="1">IF(Table24[[#This Row],[Start Date]]&gt;TODAY(),1,)</f>
        <v>0</v>
      </c>
    </row>
    <row r="127" spans="1:27" s="93" customFormat="1" ht="14.25" customHeight="1" x14ac:dyDescent="0.25">
      <c r="A127" s="52"/>
      <c r="B127" s="86" t="s">
        <v>55</v>
      </c>
      <c r="C127" s="87" t="s">
        <v>104</v>
      </c>
      <c r="D127" s="87" t="s">
        <v>105</v>
      </c>
      <c r="E127" s="128" t="s">
        <v>276</v>
      </c>
      <c r="F127" s="56">
        <v>45873</v>
      </c>
      <c r="G127" s="89">
        <v>45877</v>
      </c>
      <c r="H127" s="92"/>
      <c r="I127" s="92"/>
      <c r="J127" s="88">
        <v>0.33333333333333331</v>
      </c>
      <c r="K127" s="89"/>
      <c r="L127" s="89"/>
      <c r="M127" s="89"/>
      <c r="N127" s="89"/>
      <c r="O127" s="86" t="s">
        <v>289</v>
      </c>
      <c r="P127" s="86"/>
      <c r="Q127" s="14">
        <v>25</v>
      </c>
      <c r="R127" s="14">
        <v>5</v>
      </c>
      <c r="S127" s="14"/>
      <c r="T127" s="90"/>
      <c r="U127" s="14"/>
      <c r="V127" s="14"/>
      <c r="W127" s="87"/>
      <c r="X127" s="86"/>
      <c r="Y127" s="59">
        <f ca="1">Table24[[#This Row],[End Date]]+2-TODAY()</f>
        <v>61</v>
      </c>
      <c r="Z127" s="14">
        <f>IF(ISBLANK(Table24[[#This Row],[Roster Received By]]),1,0)</f>
        <v>1</v>
      </c>
      <c r="AA127" s="14">
        <f ca="1">IF(Table24[[#This Row],[Start Date]]&gt;TODAY(),1,)</f>
        <v>1</v>
      </c>
    </row>
    <row r="128" spans="1:27" s="93" customFormat="1" ht="14.25" customHeight="1" x14ac:dyDescent="0.25">
      <c r="A128" s="52"/>
      <c r="B128" s="86" t="s">
        <v>55</v>
      </c>
      <c r="C128" s="87" t="s">
        <v>104</v>
      </c>
      <c r="D128" s="87" t="s">
        <v>105</v>
      </c>
      <c r="E128" s="86" t="s">
        <v>179</v>
      </c>
      <c r="F128" s="89">
        <v>45810</v>
      </c>
      <c r="G128" s="89">
        <v>45814</v>
      </c>
      <c r="H128" s="92"/>
      <c r="I128" s="92"/>
      <c r="J128" s="89"/>
      <c r="K128" s="89"/>
      <c r="L128" s="89"/>
      <c r="M128" s="89"/>
      <c r="N128" s="88">
        <v>0.33333333333333331</v>
      </c>
      <c r="O128" s="86" t="s">
        <v>289</v>
      </c>
      <c r="P128" s="86"/>
      <c r="Q128" s="14">
        <v>25</v>
      </c>
      <c r="R128" s="14">
        <v>5</v>
      </c>
      <c r="S128" s="14"/>
      <c r="T128" s="90"/>
      <c r="U128" s="14"/>
      <c r="V128" s="14"/>
      <c r="W128" s="14"/>
      <c r="X128" s="86"/>
      <c r="Y128" s="59">
        <f ca="1">Table24[[#This Row],[End Date]]+2-TODAY()</f>
        <v>-2</v>
      </c>
      <c r="Z128" s="14">
        <f>IF(ISBLANK(Table24[[#This Row],[Roster Received By]]),1,0)</f>
        <v>1</v>
      </c>
      <c r="AA128" s="14">
        <f ca="1">IF(Table24[[#This Row],[Start Date]]&gt;TODAY(),1,)</f>
        <v>0</v>
      </c>
    </row>
    <row r="129" spans="1:27" s="93" customFormat="1" ht="14.25" customHeight="1" x14ac:dyDescent="0.25">
      <c r="A129" s="52"/>
      <c r="B129" s="86" t="s">
        <v>55</v>
      </c>
      <c r="C129" s="87" t="s">
        <v>104</v>
      </c>
      <c r="D129" s="87" t="s">
        <v>105</v>
      </c>
      <c r="E129" s="86" t="s">
        <v>179</v>
      </c>
      <c r="F129" s="89">
        <v>45817</v>
      </c>
      <c r="G129" s="89">
        <v>45821</v>
      </c>
      <c r="H129" s="92"/>
      <c r="I129" s="92"/>
      <c r="J129" s="89"/>
      <c r="K129" s="89"/>
      <c r="L129" s="89"/>
      <c r="M129" s="89"/>
      <c r="N129" s="88">
        <v>0.33333333333333331</v>
      </c>
      <c r="O129" s="86" t="s">
        <v>289</v>
      </c>
      <c r="P129" s="86"/>
      <c r="Q129" s="14">
        <v>25</v>
      </c>
      <c r="R129" s="14">
        <v>5</v>
      </c>
      <c r="S129" s="14"/>
      <c r="T129" s="90"/>
      <c r="U129" s="14"/>
      <c r="V129" s="14"/>
      <c r="W129" s="14"/>
      <c r="X129" s="86"/>
      <c r="Y129" s="59">
        <f ca="1">Table24[[#This Row],[End Date]]+2-TODAY()</f>
        <v>5</v>
      </c>
      <c r="Z129" s="14">
        <f>IF(ISBLANK(Table24[[#This Row],[Roster Received By]]),1,0)</f>
        <v>1</v>
      </c>
      <c r="AA129" s="14">
        <f ca="1">IF(Table24[[#This Row],[Start Date]]&gt;TODAY(),1,)</f>
        <v>0</v>
      </c>
    </row>
    <row r="130" spans="1:27" s="93" customFormat="1" ht="14.25" customHeight="1" x14ac:dyDescent="0.25">
      <c r="A130" s="52"/>
      <c r="B130" s="86" t="s">
        <v>55</v>
      </c>
      <c r="C130" s="87" t="s">
        <v>104</v>
      </c>
      <c r="D130" s="87" t="s">
        <v>105</v>
      </c>
      <c r="E130" s="86" t="s">
        <v>178</v>
      </c>
      <c r="F130" s="89">
        <v>45845</v>
      </c>
      <c r="G130" s="89">
        <v>45849</v>
      </c>
      <c r="H130" s="89"/>
      <c r="I130" s="88"/>
      <c r="J130" s="88">
        <v>0.33333333333333331</v>
      </c>
      <c r="K130" s="88"/>
      <c r="L130" s="88"/>
      <c r="M130" s="88"/>
      <c r="N130" s="88"/>
      <c r="O130" s="86" t="s">
        <v>289</v>
      </c>
      <c r="P130" s="86"/>
      <c r="Q130" s="14">
        <v>25</v>
      </c>
      <c r="R130" s="14">
        <v>5</v>
      </c>
      <c r="S130" s="14"/>
      <c r="T130" s="90"/>
      <c r="U130" s="14"/>
      <c r="V130" s="14"/>
      <c r="W130" s="14"/>
      <c r="X130" s="86"/>
      <c r="Y130" s="59">
        <f ca="1">Table24[[#This Row],[End Date]]+2-TODAY()</f>
        <v>33</v>
      </c>
      <c r="Z130" s="14">
        <f>IF(ISBLANK(Table24[[#This Row],[Roster Received By]]),1,0)</f>
        <v>1</v>
      </c>
      <c r="AA130" s="14">
        <f ca="1">IF(Table24[[#This Row],[Start Date]]&gt;TODAY(),1,)</f>
        <v>1</v>
      </c>
    </row>
    <row r="131" spans="1:27" s="93" customFormat="1" ht="14.25" customHeight="1" x14ac:dyDescent="0.25">
      <c r="A131" s="52"/>
      <c r="B131" s="86" t="s">
        <v>55</v>
      </c>
      <c r="C131" s="87" t="s">
        <v>104</v>
      </c>
      <c r="D131" s="87" t="s">
        <v>105</v>
      </c>
      <c r="E131" s="86" t="s">
        <v>165</v>
      </c>
      <c r="F131" s="89">
        <v>45684</v>
      </c>
      <c r="G131" s="89">
        <v>45688</v>
      </c>
      <c r="H131" s="89"/>
      <c r="I131" s="88">
        <v>0.33333333333333331</v>
      </c>
      <c r="J131" s="88"/>
      <c r="K131" s="88"/>
      <c r="L131" s="88"/>
      <c r="M131" s="88"/>
      <c r="N131" s="88"/>
      <c r="O131" s="86" t="s">
        <v>289</v>
      </c>
      <c r="P131" s="86"/>
      <c r="Q131" s="14">
        <v>25</v>
      </c>
      <c r="R131" s="14">
        <v>5</v>
      </c>
      <c r="S131" s="14"/>
      <c r="T131" s="90"/>
      <c r="U131" s="14"/>
      <c r="V131" s="14"/>
      <c r="W131" s="14"/>
      <c r="X131" s="86"/>
      <c r="Y131" s="59">
        <f ca="1">Table24[[#This Row],[End Date]]+2-TODAY()</f>
        <v>-128</v>
      </c>
      <c r="Z131" s="14">
        <f>IF(ISBLANK(Table24[[#This Row],[Roster Received By]]),1,0)</f>
        <v>1</v>
      </c>
      <c r="AA131" s="14">
        <f ca="1">IF(Table24[[#This Row],[Start Date]]&gt;TODAY(),1,)</f>
        <v>0</v>
      </c>
    </row>
    <row r="132" spans="1:27" s="93" customFormat="1" ht="14.25" customHeight="1" x14ac:dyDescent="0.25">
      <c r="A132" s="52"/>
      <c r="B132" s="86" t="s">
        <v>55</v>
      </c>
      <c r="C132" s="87" t="s">
        <v>104</v>
      </c>
      <c r="D132" s="87" t="s">
        <v>105</v>
      </c>
      <c r="E132" s="86" t="s">
        <v>165</v>
      </c>
      <c r="F132" s="89">
        <v>45691</v>
      </c>
      <c r="G132" s="89">
        <v>45695</v>
      </c>
      <c r="H132" s="92"/>
      <c r="I132" s="88">
        <v>0.33333333333333331</v>
      </c>
      <c r="J132" s="89"/>
      <c r="K132" s="89"/>
      <c r="L132" s="89"/>
      <c r="M132" s="89"/>
      <c r="N132" s="89"/>
      <c r="O132" s="86" t="s">
        <v>289</v>
      </c>
      <c r="P132" s="86"/>
      <c r="Q132" s="14">
        <v>25</v>
      </c>
      <c r="R132" s="14">
        <v>5</v>
      </c>
      <c r="S132" s="14"/>
      <c r="T132" s="90"/>
      <c r="U132" s="14"/>
      <c r="V132" s="14"/>
      <c r="W132" s="14"/>
      <c r="X132" s="86"/>
      <c r="Y132" s="59">
        <f ca="1">Table24[[#This Row],[End Date]]+2-TODAY()</f>
        <v>-121</v>
      </c>
      <c r="Z132" s="14">
        <f>IF(ISBLANK(Table24[[#This Row],[Roster Received By]]),1,0)</f>
        <v>1</v>
      </c>
      <c r="AA132" s="14">
        <f ca="1">IF(Table24[[#This Row],[Start Date]]&gt;TODAY(),1,)</f>
        <v>0</v>
      </c>
    </row>
    <row r="133" spans="1:27" s="93" customFormat="1" ht="14.25" customHeight="1" x14ac:dyDescent="0.25">
      <c r="A133" s="52"/>
      <c r="B133" s="86" t="s">
        <v>55</v>
      </c>
      <c r="C133" s="87" t="s">
        <v>104</v>
      </c>
      <c r="D133" s="87" t="s">
        <v>105</v>
      </c>
      <c r="E133" s="86" t="s">
        <v>178</v>
      </c>
      <c r="F133" s="56">
        <v>45852</v>
      </c>
      <c r="G133" s="56">
        <v>45856</v>
      </c>
      <c r="H133" s="89"/>
      <c r="I133" s="88"/>
      <c r="J133" s="88">
        <v>0.33333333333333331</v>
      </c>
      <c r="K133" s="88"/>
      <c r="L133" s="88"/>
      <c r="M133" s="88"/>
      <c r="N133" s="88"/>
      <c r="O133" s="86" t="s">
        <v>289</v>
      </c>
      <c r="P133" s="86"/>
      <c r="Q133" s="14">
        <v>25</v>
      </c>
      <c r="R133" s="14">
        <v>5</v>
      </c>
      <c r="S133" s="14"/>
      <c r="T133" s="90"/>
      <c r="U133" s="14"/>
      <c r="V133" s="14"/>
      <c r="W133" s="14"/>
      <c r="X133" s="86"/>
      <c r="Y133" s="59">
        <f ca="1">Table24[[#This Row],[End Date]]+2-TODAY()</f>
        <v>40</v>
      </c>
      <c r="Z133" s="14">
        <f>IF(ISBLANK(Table24[[#This Row],[Roster Received By]]),1,0)</f>
        <v>1</v>
      </c>
      <c r="AA133" s="14">
        <f ca="1">IF(Table24[[#This Row],[Start Date]]&gt;TODAY(),1,)</f>
        <v>1</v>
      </c>
    </row>
    <row r="134" spans="1:27" s="93" customFormat="1" ht="14.25" customHeight="1" x14ac:dyDescent="0.25">
      <c r="A134" s="86"/>
      <c r="B134" s="86" t="s">
        <v>55</v>
      </c>
      <c r="C134" s="87" t="s">
        <v>104</v>
      </c>
      <c r="D134" s="87" t="s">
        <v>105</v>
      </c>
      <c r="E134" s="86" t="s">
        <v>276</v>
      </c>
      <c r="F134" s="89">
        <v>45866</v>
      </c>
      <c r="G134" s="89">
        <v>45870</v>
      </c>
      <c r="H134" s="92"/>
      <c r="I134" s="92"/>
      <c r="J134" s="89"/>
      <c r="K134" s="89"/>
      <c r="L134" s="89"/>
      <c r="M134" s="89"/>
      <c r="N134" s="89"/>
      <c r="O134" s="86" t="s">
        <v>289</v>
      </c>
      <c r="P134" s="86"/>
      <c r="Q134" s="14">
        <v>25</v>
      </c>
      <c r="R134" s="14">
        <v>5</v>
      </c>
      <c r="S134" s="14"/>
      <c r="T134" s="90"/>
      <c r="U134" s="14"/>
      <c r="V134" s="14"/>
      <c r="W134" s="14"/>
      <c r="X134" s="86"/>
      <c r="Y134" s="59">
        <f ca="1">Table24[[#This Row],[End Date]]+2-TODAY()</f>
        <v>54</v>
      </c>
      <c r="Z134" s="14">
        <f>IF(ISBLANK(Table24[[#This Row],[Roster Received By]]),1,0)</f>
        <v>1</v>
      </c>
      <c r="AA134" s="14">
        <f ca="1">IF(Table24[[#This Row],[Start Date]]&gt;TODAY(),1,)</f>
        <v>1</v>
      </c>
    </row>
    <row r="135" spans="1:27" s="122" customFormat="1" x14ac:dyDescent="0.25">
      <c r="A135" s="52"/>
      <c r="B135" s="86" t="s">
        <v>55</v>
      </c>
      <c r="C135" s="87" t="s">
        <v>104</v>
      </c>
      <c r="D135" s="87" t="s">
        <v>105</v>
      </c>
      <c r="E135" s="86" t="s">
        <v>168</v>
      </c>
      <c r="F135" s="89">
        <v>45866</v>
      </c>
      <c r="G135" s="89">
        <v>45870</v>
      </c>
      <c r="H135" s="92"/>
      <c r="I135" s="88">
        <v>0.33333333333333331</v>
      </c>
      <c r="J135" s="89"/>
      <c r="K135" s="89"/>
      <c r="L135" s="89"/>
      <c r="M135" s="89"/>
      <c r="N135" s="89"/>
      <c r="O135" s="86" t="s">
        <v>289</v>
      </c>
      <c r="P135" s="86"/>
      <c r="Q135" s="14">
        <v>25</v>
      </c>
      <c r="R135" s="14">
        <v>5</v>
      </c>
      <c r="S135" s="14"/>
      <c r="T135" s="90"/>
      <c r="U135" s="14"/>
      <c r="V135" s="14"/>
      <c r="W135" s="14"/>
      <c r="X135" s="86"/>
      <c r="Y135" s="59">
        <f ca="1">Table24[[#This Row],[End Date]]+2-TODAY()</f>
        <v>54</v>
      </c>
      <c r="Z135" s="14">
        <f>IF(ISBLANK(Table24[[#This Row],[Roster Received By]]),1,0)</f>
        <v>1</v>
      </c>
      <c r="AA135" s="14">
        <f ca="1">IF(Table24[[#This Row],[Start Date]]&gt;TODAY(),1,)</f>
        <v>1</v>
      </c>
    </row>
    <row r="136" spans="1:27" s="93" customFormat="1" ht="14.25" customHeight="1" x14ac:dyDescent="0.25">
      <c r="A136" s="52"/>
      <c r="B136" s="86" t="s">
        <v>58</v>
      </c>
      <c r="C136" s="87" t="s">
        <v>282</v>
      </c>
      <c r="D136" s="87" t="s">
        <v>117</v>
      </c>
      <c r="E136" s="86" t="s">
        <v>168</v>
      </c>
      <c r="F136" s="89">
        <v>45615</v>
      </c>
      <c r="G136" s="89">
        <v>45618</v>
      </c>
      <c r="H136" s="92"/>
      <c r="I136" s="153">
        <v>0.33333333333333331</v>
      </c>
      <c r="J136" s="89"/>
      <c r="K136" s="89"/>
      <c r="L136" s="89"/>
      <c r="M136" s="89"/>
      <c r="N136" s="89"/>
      <c r="O136" s="86"/>
      <c r="P136" s="86"/>
      <c r="Q136" s="14">
        <v>30</v>
      </c>
      <c r="R136" s="14">
        <v>4</v>
      </c>
      <c r="S136" s="14"/>
      <c r="T136" s="90"/>
      <c r="U136" s="14"/>
      <c r="V136" s="14"/>
      <c r="W136" s="94"/>
      <c r="X136" s="86"/>
      <c r="Y136" s="59">
        <f ca="1">Table24[[#This Row],[End Date]]+2-TODAY()</f>
        <v>-198</v>
      </c>
      <c r="Z136" s="14">
        <f>IF(ISBLANK(Table24[[#This Row],[Roster Received By]]),1,0)</f>
        <v>1</v>
      </c>
      <c r="AA136" s="14">
        <f ca="1">IF(Table24[[#This Row],[Start Date]]&gt;TODAY(),1,)</f>
        <v>0</v>
      </c>
    </row>
    <row r="137" spans="1:27" s="93" customFormat="1" ht="14.25" customHeight="1" x14ac:dyDescent="0.25">
      <c r="A137" s="52"/>
      <c r="B137" s="86" t="s">
        <v>58</v>
      </c>
      <c r="C137" s="87" t="s">
        <v>282</v>
      </c>
      <c r="D137" s="87" t="s">
        <v>117</v>
      </c>
      <c r="E137" s="86" t="s">
        <v>276</v>
      </c>
      <c r="F137" s="89">
        <v>45636</v>
      </c>
      <c r="G137" s="89">
        <v>45639</v>
      </c>
      <c r="H137" s="89"/>
      <c r="I137" s="88"/>
      <c r="J137" s="153">
        <v>0.33333333333333331</v>
      </c>
      <c r="K137" s="88"/>
      <c r="L137" s="88"/>
      <c r="M137" s="88"/>
      <c r="N137" s="88"/>
      <c r="O137" s="86"/>
      <c r="P137" s="86"/>
      <c r="Q137" s="14">
        <v>30</v>
      </c>
      <c r="R137" s="14">
        <v>4</v>
      </c>
      <c r="S137" s="14"/>
      <c r="T137" s="90"/>
      <c r="U137" s="14"/>
      <c r="V137" s="14"/>
      <c r="W137" s="14"/>
      <c r="X137" s="86"/>
      <c r="Y137" s="59">
        <f ca="1">Table24[[#This Row],[End Date]]+2-TODAY()</f>
        <v>-177</v>
      </c>
      <c r="Z137" s="14">
        <f>IF(ISBLANK(Table24[[#This Row],[Roster Received By]]),1,0)</f>
        <v>1</v>
      </c>
      <c r="AA137" s="14">
        <f ca="1">IF(Table24[[#This Row],[Start Date]]&gt;TODAY(),1,)</f>
        <v>0</v>
      </c>
    </row>
    <row r="138" spans="1:27" s="93" customFormat="1" ht="14.25" customHeight="1" x14ac:dyDescent="0.25">
      <c r="A138" s="52"/>
      <c r="B138" s="86" t="s">
        <v>58</v>
      </c>
      <c r="C138" s="87" t="s">
        <v>282</v>
      </c>
      <c r="D138" s="87" t="s">
        <v>117</v>
      </c>
      <c r="E138" s="86" t="s">
        <v>165</v>
      </c>
      <c r="F138" s="89">
        <v>45685</v>
      </c>
      <c r="G138" s="89">
        <v>45688</v>
      </c>
      <c r="H138" s="89"/>
      <c r="I138" s="153">
        <v>0.33333333333333331</v>
      </c>
      <c r="J138" s="88"/>
      <c r="K138" s="88"/>
      <c r="L138" s="88"/>
      <c r="M138" s="88"/>
      <c r="N138" s="88"/>
      <c r="O138" s="86"/>
      <c r="P138" s="86"/>
      <c r="Q138" s="14">
        <v>30</v>
      </c>
      <c r="R138" s="14">
        <v>4</v>
      </c>
      <c r="S138" s="14"/>
      <c r="T138" s="90"/>
      <c r="U138" s="14"/>
      <c r="V138" s="14"/>
      <c r="W138" s="14"/>
      <c r="X138" s="86"/>
      <c r="Y138" s="59">
        <f ca="1">Table24[[#This Row],[End Date]]+2-TODAY()</f>
        <v>-128</v>
      </c>
      <c r="Z138" s="14">
        <f>IF(ISBLANK(Table24[[#This Row],[Roster Received By]]),1,0)</f>
        <v>1</v>
      </c>
      <c r="AA138" s="14">
        <f ca="1">IF(Table24[[#This Row],[Start Date]]&gt;TODAY(),1,)</f>
        <v>0</v>
      </c>
    </row>
    <row r="139" spans="1:27" s="93" customFormat="1" ht="14.25" customHeight="1" x14ac:dyDescent="0.25">
      <c r="A139" s="52"/>
      <c r="B139" s="86" t="s">
        <v>58</v>
      </c>
      <c r="C139" s="87" t="s">
        <v>282</v>
      </c>
      <c r="D139" s="87" t="s">
        <v>117</v>
      </c>
      <c r="E139" s="86" t="s">
        <v>176</v>
      </c>
      <c r="F139" s="89">
        <v>45713</v>
      </c>
      <c r="G139" s="89">
        <v>45716</v>
      </c>
      <c r="H139" s="89"/>
      <c r="I139" s="88"/>
      <c r="J139" s="153">
        <v>0.33333333333333331</v>
      </c>
      <c r="K139" s="88"/>
      <c r="L139" s="88"/>
      <c r="M139" s="88"/>
      <c r="N139" s="88"/>
      <c r="O139" s="86"/>
      <c r="P139" s="86"/>
      <c r="Q139" s="14">
        <v>30</v>
      </c>
      <c r="R139" s="14">
        <v>4</v>
      </c>
      <c r="S139" s="14"/>
      <c r="T139" s="90"/>
      <c r="U139" s="14"/>
      <c r="V139" s="14"/>
      <c r="W139" s="87"/>
      <c r="X139" s="86"/>
      <c r="Y139" s="59">
        <f ca="1">Table24[[#This Row],[End Date]]+2-TODAY()</f>
        <v>-100</v>
      </c>
      <c r="Z139" s="14">
        <f>IF(ISBLANK(Table24[[#This Row],[Roster Received By]]),1,0)</f>
        <v>1</v>
      </c>
      <c r="AA139" s="14">
        <f ca="1">IF(Table24[[#This Row],[Start Date]]&gt;TODAY(),1,)</f>
        <v>0</v>
      </c>
    </row>
    <row r="140" spans="1:27" s="93" customFormat="1" ht="14.25" customHeight="1" x14ac:dyDescent="0.25">
      <c r="A140" s="86"/>
      <c r="B140" s="86" t="s">
        <v>58</v>
      </c>
      <c r="C140" s="87" t="s">
        <v>282</v>
      </c>
      <c r="D140" s="87" t="s">
        <v>117</v>
      </c>
      <c r="E140" s="86" t="s">
        <v>178</v>
      </c>
      <c r="F140" s="89">
        <v>45719</v>
      </c>
      <c r="G140" s="89">
        <v>45722</v>
      </c>
      <c r="H140" s="95"/>
      <c r="I140" s="95"/>
      <c r="J140" s="153">
        <v>0.33333333333333331</v>
      </c>
      <c r="K140" s="89"/>
      <c r="L140" s="89"/>
      <c r="M140" s="89"/>
      <c r="N140" s="89"/>
      <c r="O140" s="86"/>
      <c r="P140" s="86"/>
      <c r="Q140" s="14">
        <v>30</v>
      </c>
      <c r="R140" s="14">
        <v>4</v>
      </c>
      <c r="S140" s="14"/>
      <c r="T140" s="90"/>
      <c r="U140" s="14"/>
      <c r="V140" s="14"/>
      <c r="W140" s="87"/>
      <c r="X140" s="86"/>
      <c r="Y140" s="59">
        <f ca="1">Table24[[#This Row],[End Date]]+2-TODAY()</f>
        <v>-94</v>
      </c>
      <c r="Z140" s="14">
        <f>IF(ISBLANK(Table24[[#This Row],[Roster Received By]]),1,0)</f>
        <v>1</v>
      </c>
      <c r="AA140" s="14">
        <f ca="1">IF(Table24[[#This Row],[Start Date]]&gt;TODAY(),1,)</f>
        <v>0</v>
      </c>
    </row>
    <row r="141" spans="1:27" s="93" customFormat="1" ht="14.25" customHeight="1" x14ac:dyDescent="0.25">
      <c r="A141" s="52"/>
      <c r="B141" s="86" t="s">
        <v>58</v>
      </c>
      <c r="C141" s="87" t="s">
        <v>282</v>
      </c>
      <c r="D141" s="87" t="s">
        <v>117</v>
      </c>
      <c r="E141" s="86" t="s">
        <v>300</v>
      </c>
      <c r="F141" s="89">
        <v>45741</v>
      </c>
      <c r="G141" s="89">
        <v>45744</v>
      </c>
      <c r="H141" s="89"/>
      <c r="I141" s="153">
        <v>0.33333333333333331</v>
      </c>
      <c r="J141" s="88"/>
      <c r="K141" s="88"/>
      <c r="L141" s="88"/>
      <c r="M141" s="88"/>
      <c r="N141" s="88"/>
      <c r="O141" s="86"/>
      <c r="P141" s="86"/>
      <c r="Q141" s="14">
        <v>30</v>
      </c>
      <c r="R141" s="14">
        <v>4</v>
      </c>
      <c r="S141" s="14"/>
      <c r="T141" s="90"/>
      <c r="U141" s="14"/>
      <c r="V141" s="14"/>
      <c r="W141" s="14"/>
      <c r="X141" s="86"/>
      <c r="Y141" s="59">
        <f ca="1">Table24[[#This Row],[End Date]]+2-TODAY()</f>
        <v>-72</v>
      </c>
      <c r="Z141" s="14">
        <f>IF(ISBLANK(Table24[[#This Row],[Roster Received By]]),1,0)</f>
        <v>1</v>
      </c>
      <c r="AA141" s="14">
        <f ca="1">IF(Table24[[#This Row],[Start Date]]&gt;TODAY(),1,)</f>
        <v>0</v>
      </c>
    </row>
    <row r="142" spans="1:27" s="52" customFormat="1" x14ac:dyDescent="0.25">
      <c r="B142" s="86" t="s">
        <v>58</v>
      </c>
      <c r="C142" s="87" t="s">
        <v>282</v>
      </c>
      <c r="D142" s="87" t="s">
        <v>117</v>
      </c>
      <c r="E142" s="86" t="s">
        <v>168</v>
      </c>
      <c r="F142" s="89">
        <v>45769</v>
      </c>
      <c r="G142" s="89">
        <v>45772</v>
      </c>
      <c r="H142" s="89"/>
      <c r="I142" s="153">
        <v>0.33333333333333331</v>
      </c>
      <c r="J142" s="88"/>
      <c r="K142" s="88"/>
      <c r="L142" s="88"/>
      <c r="M142" s="88"/>
      <c r="N142" s="88"/>
      <c r="O142" s="86"/>
      <c r="P142" s="86"/>
      <c r="Q142" s="14">
        <v>30</v>
      </c>
      <c r="R142" s="14">
        <v>4</v>
      </c>
      <c r="S142" s="14"/>
      <c r="T142" s="90"/>
      <c r="U142" s="14"/>
      <c r="V142" s="14"/>
      <c r="W142" s="90"/>
      <c r="X142" s="86"/>
      <c r="Y142" s="59">
        <f ca="1">Table24[[#This Row],[End Date]]+2-TODAY()</f>
        <v>-44</v>
      </c>
      <c r="Z142" s="14">
        <f>IF(ISBLANK(Table24[[#This Row],[Roster Received By]]),1,0)</f>
        <v>1</v>
      </c>
      <c r="AA142" s="14">
        <f ca="1">IF(Table24[[#This Row],[Start Date]]&gt;TODAY(),1,)</f>
        <v>0</v>
      </c>
    </row>
    <row r="143" spans="1:27" s="122" customFormat="1" ht="14.25" customHeight="1" x14ac:dyDescent="0.25">
      <c r="A143" s="52"/>
      <c r="B143" s="86" t="s">
        <v>58</v>
      </c>
      <c r="C143" s="87" t="s">
        <v>282</v>
      </c>
      <c r="D143" s="87" t="s">
        <v>117</v>
      </c>
      <c r="E143" s="86" t="s">
        <v>179</v>
      </c>
      <c r="F143" s="89">
        <v>45789</v>
      </c>
      <c r="G143" s="89">
        <v>45792</v>
      </c>
      <c r="H143" s="89"/>
      <c r="I143" s="88"/>
      <c r="J143" s="88"/>
      <c r="K143" s="88"/>
      <c r="L143" s="88"/>
      <c r="M143" s="88"/>
      <c r="N143" s="88">
        <v>0.33333333333333331</v>
      </c>
      <c r="O143" s="86"/>
      <c r="P143" s="86"/>
      <c r="Q143" s="14">
        <v>30</v>
      </c>
      <c r="R143" s="14">
        <v>4</v>
      </c>
      <c r="S143" s="14"/>
      <c r="T143" s="90"/>
      <c r="U143" s="14"/>
      <c r="V143" s="14"/>
      <c r="W143" s="14"/>
      <c r="X143" s="86"/>
      <c r="Y143" s="59">
        <f ca="1">Table24[[#This Row],[End Date]]+2-TODAY()</f>
        <v>-24</v>
      </c>
      <c r="Z143" s="14">
        <f>IF(ISBLANK(Table24[[#This Row],[Roster Received By]]),1,0)</f>
        <v>1</v>
      </c>
      <c r="AA143" s="14">
        <f ca="1">IF(Table24[[#This Row],[Start Date]]&gt;TODAY(),1,)</f>
        <v>0</v>
      </c>
    </row>
    <row r="144" spans="1:27" s="122" customFormat="1" ht="14.25" customHeight="1" x14ac:dyDescent="0.25">
      <c r="A144" s="52"/>
      <c r="B144" s="86" t="s">
        <v>58</v>
      </c>
      <c r="C144" s="87" t="s">
        <v>282</v>
      </c>
      <c r="D144" s="87" t="s">
        <v>117</v>
      </c>
      <c r="E144" s="86" t="s">
        <v>179</v>
      </c>
      <c r="F144" s="89">
        <v>45796</v>
      </c>
      <c r="G144" s="89">
        <v>45799</v>
      </c>
      <c r="H144" s="92"/>
      <c r="I144" s="92"/>
      <c r="J144" s="89"/>
      <c r="K144" s="89"/>
      <c r="L144" s="89"/>
      <c r="M144" s="89"/>
      <c r="N144" s="153">
        <v>0.33333333333333331</v>
      </c>
      <c r="O144" s="86"/>
      <c r="P144" s="86"/>
      <c r="Q144" s="14">
        <v>30</v>
      </c>
      <c r="R144" s="14">
        <v>4</v>
      </c>
      <c r="S144" s="14"/>
      <c r="T144" s="90"/>
      <c r="U144" s="14"/>
      <c r="V144" s="14"/>
      <c r="W144" s="87"/>
      <c r="X144" s="86"/>
      <c r="Y144" s="59">
        <f ca="1">Table24[[#This Row],[End Date]]+2-TODAY()</f>
        <v>-17</v>
      </c>
      <c r="Z144" s="14">
        <f>IF(ISBLANK(Table24[[#This Row],[Roster Received By]]),1,0)</f>
        <v>1</v>
      </c>
      <c r="AA144" s="14">
        <f ca="1">IF(Table24[[#This Row],[Start Date]]&gt;TODAY(),1,)</f>
        <v>0</v>
      </c>
    </row>
    <row r="145" spans="1:27" s="122" customFormat="1" ht="16.5" customHeight="1" x14ac:dyDescent="0.25">
      <c r="A145" s="52"/>
      <c r="B145" s="86" t="s">
        <v>58</v>
      </c>
      <c r="C145" s="87" t="s">
        <v>282</v>
      </c>
      <c r="D145" s="87" t="s">
        <v>117</v>
      </c>
      <c r="E145" s="86" t="s">
        <v>167</v>
      </c>
      <c r="F145" s="89">
        <v>45818</v>
      </c>
      <c r="G145" s="89">
        <v>45821</v>
      </c>
      <c r="H145" s="89"/>
      <c r="I145" s="88">
        <v>0.33333333333333331</v>
      </c>
      <c r="J145" s="88"/>
      <c r="K145" s="88"/>
      <c r="L145" s="88"/>
      <c r="M145" s="88"/>
      <c r="N145" s="88"/>
      <c r="O145" s="86"/>
      <c r="P145" s="86"/>
      <c r="Q145" s="14">
        <v>30</v>
      </c>
      <c r="R145" s="14">
        <v>4</v>
      </c>
      <c r="S145" s="14"/>
      <c r="T145" s="90"/>
      <c r="U145" s="14"/>
      <c r="V145" s="14"/>
      <c r="W145" s="14"/>
      <c r="X145" s="86"/>
      <c r="Y145" s="59">
        <f ca="1">Table24[[#This Row],[End Date]]+2-TODAY()</f>
        <v>5</v>
      </c>
      <c r="Z145" s="14">
        <f>IF(ISBLANK(Table24[[#This Row],[Roster Received By]]),1,0)</f>
        <v>1</v>
      </c>
      <c r="AA145" s="14">
        <f ca="1">IF(Table24[[#This Row],[Start Date]]&gt;TODAY(),1,)</f>
        <v>0</v>
      </c>
    </row>
    <row r="146" spans="1:27" s="93" customFormat="1" ht="16.5" customHeight="1" x14ac:dyDescent="0.25">
      <c r="A146" s="52"/>
      <c r="B146" s="86" t="s">
        <v>58</v>
      </c>
      <c r="C146" s="87" t="s">
        <v>282</v>
      </c>
      <c r="D146" s="87" t="s">
        <v>117</v>
      </c>
      <c r="E146" s="86" t="s">
        <v>168</v>
      </c>
      <c r="F146" s="56">
        <v>45846</v>
      </c>
      <c r="G146" s="89">
        <v>45849</v>
      </c>
      <c r="H146" s="89"/>
      <c r="I146" s="88">
        <v>0.33333333333333331</v>
      </c>
      <c r="J146" s="88"/>
      <c r="K146" s="88"/>
      <c r="L146" s="88"/>
      <c r="M146" s="88"/>
      <c r="N146" s="88"/>
      <c r="O146" s="86"/>
      <c r="P146" s="86"/>
      <c r="Q146" s="14">
        <v>30</v>
      </c>
      <c r="R146" s="14">
        <v>4</v>
      </c>
      <c r="S146" s="14"/>
      <c r="T146" s="90"/>
      <c r="U146" s="14"/>
      <c r="V146" s="14"/>
      <c r="W146" s="14"/>
      <c r="X146" s="86"/>
      <c r="Y146" s="59">
        <f ca="1">Table24[[#This Row],[End Date]]+2-TODAY()</f>
        <v>33</v>
      </c>
      <c r="Z146" s="14">
        <f>IF(ISBLANK(Table24[[#This Row],[Roster Received By]]),1,0)</f>
        <v>1</v>
      </c>
      <c r="AA146" s="14">
        <f ca="1">IF(Table24[[#This Row],[Start Date]]&gt;TODAY(),1,)</f>
        <v>1</v>
      </c>
    </row>
    <row r="147" spans="1:27" s="93" customFormat="1" ht="16.5" customHeight="1" x14ac:dyDescent="0.25">
      <c r="A147" s="86"/>
      <c r="B147" s="86" t="s">
        <v>58</v>
      </c>
      <c r="C147" s="87" t="s">
        <v>282</v>
      </c>
      <c r="D147" s="87" t="s">
        <v>117</v>
      </c>
      <c r="E147" s="54" t="s">
        <v>176</v>
      </c>
      <c r="F147" s="89">
        <v>45881</v>
      </c>
      <c r="G147" s="89">
        <v>45884</v>
      </c>
      <c r="H147" s="92"/>
      <c r="I147" s="92"/>
      <c r="J147" s="153">
        <v>0.33333333333333331</v>
      </c>
      <c r="K147" s="89"/>
      <c r="L147" s="89"/>
      <c r="M147" s="89"/>
      <c r="N147" s="89"/>
      <c r="O147" s="86"/>
      <c r="P147" s="86"/>
      <c r="Q147" s="14">
        <v>30</v>
      </c>
      <c r="R147" s="14">
        <v>4</v>
      </c>
      <c r="S147" s="14"/>
      <c r="T147" s="90"/>
      <c r="U147" s="14"/>
      <c r="V147" s="14"/>
      <c r="W147" s="14"/>
      <c r="X147" s="86"/>
      <c r="Y147" s="59">
        <f ca="1">Table24[[#This Row],[End Date]]+2-TODAY()</f>
        <v>68</v>
      </c>
      <c r="Z147" s="14">
        <f>IF(ISBLANK(Table24[[#This Row],[Roster Received By]]),1,0)</f>
        <v>1</v>
      </c>
      <c r="AA147" s="14">
        <f ca="1">IF(Table24[[#This Row],[Start Date]]&gt;TODAY(),1,)</f>
        <v>1</v>
      </c>
    </row>
    <row r="148" spans="1:27" s="93" customFormat="1" ht="14.25" customHeight="1" x14ac:dyDescent="0.25">
      <c r="A148" s="52"/>
      <c r="B148" s="86" t="s">
        <v>58</v>
      </c>
      <c r="C148" s="87" t="s">
        <v>282</v>
      </c>
      <c r="D148" s="87" t="s">
        <v>117</v>
      </c>
      <c r="E148" s="86" t="s">
        <v>174</v>
      </c>
      <c r="F148" s="89">
        <v>45895</v>
      </c>
      <c r="G148" s="89">
        <v>45898</v>
      </c>
      <c r="H148" s="89"/>
      <c r="I148" s="88"/>
      <c r="J148" s="88"/>
      <c r="K148" s="88"/>
      <c r="L148" s="88"/>
      <c r="M148" s="88">
        <v>0.33333333333333331</v>
      </c>
      <c r="N148" s="88"/>
      <c r="O148" s="86"/>
      <c r="P148" s="86"/>
      <c r="Q148" s="14">
        <v>30</v>
      </c>
      <c r="R148" s="14">
        <v>4</v>
      </c>
      <c r="S148" s="14"/>
      <c r="T148" s="90"/>
      <c r="U148" s="14"/>
      <c r="V148" s="14"/>
      <c r="W148" s="14"/>
      <c r="X148" s="86"/>
      <c r="Y148" s="59">
        <f ca="1">Table24[[#This Row],[End Date]]+2-TODAY()</f>
        <v>82</v>
      </c>
      <c r="Z148" s="14">
        <f>IF(ISBLANK(Table24[[#This Row],[Roster Received By]]),1,0)</f>
        <v>1</v>
      </c>
      <c r="AA148" s="14">
        <f ca="1">IF(Table24[[#This Row],[Start Date]]&gt;TODAY(),1,)</f>
        <v>1</v>
      </c>
    </row>
    <row r="149" spans="1:27" s="93" customFormat="1" ht="14.25" customHeight="1" x14ac:dyDescent="0.25">
      <c r="A149" s="52"/>
      <c r="B149" s="86" t="s">
        <v>58</v>
      </c>
      <c r="C149" s="87" t="s">
        <v>282</v>
      </c>
      <c r="D149" s="87" t="s">
        <v>117</v>
      </c>
      <c r="E149" s="86" t="s">
        <v>168</v>
      </c>
      <c r="F149" s="89">
        <v>45916</v>
      </c>
      <c r="G149" s="89">
        <v>45919</v>
      </c>
      <c r="H149" s="89"/>
      <c r="I149" s="153">
        <v>0.33333333333333331</v>
      </c>
      <c r="J149" s="88"/>
      <c r="K149" s="88"/>
      <c r="L149" s="88"/>
      <c r="M149" s="88"/>
      <c r="N149" s="88"/>
      <c r="O149" s="86"/>
      <c r="P149" s="86"/>
      <c r="Q149" s="14">
        <v>30</v>
      </c>
      <c r="R149" s="14">
        <v>4</v>
      </c>
      <c r="S149" s="14"/>
      <c r="T149" s="90"/>
      <c r="U149" s="14"/>
      <c r="V149" s="14"/>
      <c r="W149" s="14"/>
      <c r="X149" s="86"/>
      <c r="Y149" s="59">
        <f ca="1">Table24[[#This Row],[End Date]]+2-TODAY()</f>
        <v>103</v>
      </c>
      <c r="Z149" s="14">
        <f>IF(ISBLANK(Table24[[#This Row],[Roster Received By]]),1,0)</f>
        <v>1</v>
      </c>
      <c r="AA149" s="14">
        <f ca="1">IF(Table24[[#This Row],[Start Date]]&gt;TODAY(),1,)</f>
        <v>1</v>
      </c>
    </row>
    <row r="150" spans="1:27" s="93" customFormat="1" ht="14.25" customHeight="1" x14ac:dyDescent="0.25">
      <c r="A150" s="52"/>
      <c r="B150" s="86" t="s">
        <v>56</v>
      </c>
      <c r="C150" s="87" t="s">
        <v>108</v>
      </c>
      <c r="D150" s="87" t="s">
        <v>109</v>
      </c>
      <c r="E150" s="86" t="s">
        <v>176</v>
      </c>
      <c r="F150" s="89">
        <v>45712</v>
      </c>
      <c r="G150" s="89">
        <v>45715</v>
      </c>
      <c r="H150" s="89"/>
      <c r="I150" s="88"/>
      <c r="J150" s="88">
        <v>0.33333333333333331</v>
      </c>
      <c r="K150" s="88"/>
      <c r="L150" s="88"/>
      <c r="M150" s="88"/>
      <c r="N150" s="88"/>
      <c r="O150" s="86"/>
      <c r="P150" s="86"/>
      <c r="Q150" s="14">
        <v>35</v>
      </c>
      <c r="R150" s="14">
        <v>5</v>
      </c>
      <c r="S150" s="14"/>
      <c r="T150" s="90"/>
      <c r="U150" s="14"/>
      <c r="V150" s="14"/>
      <c r="W150" s="14"/>
      <c r="X150" s="86"/>
      <c r="Y150" s="59">
        <f ca="1">Table24[[#This Row],[End Date]]+2-TODAY()</f>
        <v>-101</v>
      </c>
      <c r="Z150" s="14">
        <f>IF(ISBLANK(Table24[[#This Row],[Roster Received By]]),1,0)</f>
        <v>1</v>
      </c>
      <c r="AA150" s="14">
        <f ca="1">IF(Table24[[#This Row],[Start Date]]&gt;TODAY(),1,)</f>
        <v>0</v>
      </c>
    </row>
    <row r="151" spans="1:27" s="93" customFormat="1" ht="16.5" customHeight="1" x14ac:dyDescent="0.25">
      <c r="A151" s="138" t="s">
        <v>496</v>
      </c>
      <c r="B151" s="139" t="s">
        <v>56</v>
      </c>
      <c r="C151" s="141" t="s">
        <v>108</v>
      </c>
      <c r="D151" s="141" t="s">
        <v>109</v>
      </c>
      <c r="E151" s="139" t="s">
        <v>175</v>
      </c>
      <c r="F151" s="154">
        <v>45866</v>
      </c>
      <c r="G151" s="154">
        <v>45870</v>
      </c>
      <c r="H151" s="154"/>
      <c r="I151" s="143"/>
      <c r="J151" s="143">
        <v>0.33333333333333331</v>
      </c>
      <c r="K151" s="143"/>
      <c r="L151" s="143"/>
      <c r="M151" s="143"/>
      <c r="N151" s="143"/>
      <c r="O151" s="139"/>
      <c r="P151" s="139"/>
      <c r="Q151" s="144">
        <v>35</v>
      </c>
      <c r="R151" s="144">
        <v>5</v>
      </c>
      <c r="S151" s="14"/>
      <c r="T151" s="90"/>
      <c r="U151" s="14"/>
      <c r="V151" s="14"/>
      <c r="W151" s="14"/>
      <c r="X151" s="86"/>
      <c r="Y151" s="59">
        <f ca="1">Table24[[#This Row],[End Date]]+2-TODAY()</f>
        <v>54</v>
      </c>
      <c r="Z151" s="14">
        <f>IF(ISBLANK(Table24[[#This Row],[Roster Received By]]),1,0)</f>
        <v>1</v>
      </c>
      <c r="AA151" s="14">
        <f ca="1">IF(Table24[[#This Row],[Start Date]]&gt;TODAY(),1,)</f>
        <v>1</v>
      </c>
    </row>
    <row r="152" spans="1:27" s="93" customFormat="1" ht="14.25" customHeight="1" x14ac:dyDescent="0.25">
      <c r="A152" s="139" t="s">
        <v>497</v>
      </c>
      <c r="B152" s="139" t="s">
        <v>56</v>
      </c>
      <c r="C152" s="141" t="s">
        <v>108</v>
      </c>
      <c r="D152" s="141" t="s">
        <v>109</v>
      </c>
      <c r="E152" s="139" t="s">
        <v>163</v>
      </c>
      <c r="F152" s="142">
        <v>45789</v>
      </c>
      <c r="G152" s="142">
        <v>45793</v>
      </c>
      <c r="H152" s="142"/>
      <c r="I152" s="143">
        <v>0.33333333333333331</v>
      </c>
      <c r="J152" s="143"/>
      <c r="K152" s="143"/>
      <c r="L152" s="143"/>
      <c r="M152" s="143"/>
      <c r="N152" s="143"/>
      <c r="O152" s="139"/>
      <c r="P152" s="139"/>
      <c r="Q152" s="144">
        <v>35</v>
      </c>
      <c r="R152" s="144">
        <v>5</v>
      </c>
      <c r="S152" s="14"/>
      <c r="T152" s="90"/>
      <c r="U152" s="14"/>
      <c r="V152" s="14"/>
      <c r="W152" s="14"/>
      <c r="X152" s="86"/>
      <c r="Y152" s="59">
        <f ca="1">Table24[[#This Row],[End Date]]+2-TODAY()</f>
        <v>-23</v>
      </c>
      <c r="Z152" s="14">
        <f>IF(ISBLANK(Table24[[#This Row],[Roster Received By]]),1,0)</f>
        <v>1</v>
      </c>
      <c r="AA152" s="14">
        <f ca="1">IF(Table24[[#This Row],[Start Date]]&gt;TODAY(),1,)</f>
        <v>0</v>
      </c>
    </row>
    <row r="153" spans="1:27" s="93" customFormat="1" ht="14.25" customHeight="1" x14ac:dyDescent="0.25">
      <c r="A153" s="52"/>
      <c r="B153" s="86" t="s">
        <v>56</v>
      </c>
      <c r="C153" s="87" t="s">
        <v>108</v>
      </c>
      <c r="D153" s="87" t="s">
        <v>109</v>
      </c>
      <c r="E153" s="86" t="s">
        <v>168</v>
      </c>
      <c r="F153" s="56">
        <v>45733</v>
      </c>
      <c r="G153" s="56">
        <v>45737</v>
      </c>
      <c r="H153" s="92"/>
      <c r="I153" s="88">
        <v>0.33333333333333331</v>
      </c>
      <c r="J153" s="89"/>
      <c r="K153" s="89"/>
      <c r="L153" s="89"/>
      <c r="M153" s="89"/>
      <c r="N153" s="89"/>
      <c r="O153" s="86"/>
      <c r="P153" s="86"/>
      <c r="Q153" s="14">
        <v>35</v>
      </c>
      <c r="R153" s="14">
        <v>5</v>
      </c>
      <c r="S153" s="14"/>
      <c r="T153" s="90"/>
      <c r="U153" s="14"/>
      <c r="V153" s="14"/>
      <c r="W153" s="87"/>
      <c r="X153" s="86"/>
      <c r="Y153" s="96">
        <f ca="1">Table24[[#This Row],[End Date]]+2-TODAY()</f>
        <v>-79</v>
      </c>
      <c r="Z153" s="14">
        <f>IF(ISBLANK(Table24[[#This Row],[Roster Received By]]),1,0)</f>
        <v>1</v>
      </c>
      <c r="AA153" s="87">
        <f ca="1">IF(Table24[[#This Row],[Start Date]]&gt;TODAY(),1,)</f>
        <v>0</v>
      </c>
    </row>
    <row r="154" spans="1:27" s="93" customFormat="1" ht="14.25" customHeight="1" x14ac:dyDescent="0.25">
      <c r="A154" s="52"/>
      <c r="B154" s="86" t="s">
        <v>56</v>
      </c>
      <c r="C154" s="87" t="s">
        <v>108</v>
      </c>
      <c r="D154" s="87" t="s">
        <v>109</v>
      </c>
      <c r="E154" s="123" t="s">
        <v>174</v>
      </c>
      <c r="F154" s="56">
        <v>45810</v>
      </c>
      <c r="G154" s="56">
        <v>45814</v>
      </c>
      <c r="H154" s="89"/>
      <c r="I154" s="88"/>
      <c r="J154" s="88"/>
      <c r="K154" s="88"/>
      <c r="L154" s="88"/>
      <c r="M154" s="88">
        <v>0.33333333333333331</v>
      </c>
      <c r="N154" s="88"/>
      <c r="O154" s="86"/>
      <c r="P154" s="86"/>
      <c r="Q154" s="14">
        <v>35</v>
      </c>
      <c r="R154" s="14">
        <v>5</v>
      </c>
      <c r="S154" s="14"/>
      <c r="T154" s="90"/>
      <c r="U154" s="14"/>
      <c r="V154" s="14"/>
      <c r="W154" s="14"/>
      <c r="X154" s="86"/>
      <c r="Y154" s="59">
        <f ca="1">Table24[[#This Row],[End Date]]+2-TODAY()</f>
        <v>-2</v>
      </c>
      <c r="Z154" s="14">
        <f>IF(ISBLANK(Table24[[#This Row],[Roster Received By]]),1,0)</f>
        <v>1</v>
      </c>
      <c r="AA154" s="14">
        <f ca="1">IF(Table24[[#This Row],[Start Date]]&gt;TODAY(),1,)</f>
        <v>0</v>
      </c>
    </row>
    <row r="155" spans="1:27" s="52" customFormat="1" x14ac:dyDescent="0.25">
      <c r="B155" s="86" t="s">
        <v>60</v>
      </c>
      <c r="C155" s="87" t="s">
        <v>140</v>
      </c>
      <c r="D155" s="87" t="s">
        <v>141</v>
      </c>
      <c r="E155" s="86"/>
      <c r="F155" s="89">
        <v>45621</v>
      </c>
      <c r="G155" s="89">
        <v>45625</v>
      </c>
      <c r="H155" s="92"/>
      <c r="I155" s="153">
        <v>0.33333333333333331</v>
      </c>
      <c r="J155" s="89"/>
      <c r="K155" s="89"/>
      <c r="L155" s="89"/>
      <c r="M155" s="89"/>
      <c r="N155" s="89"/>
      <c r="O155" s="86"/>
      <c r="P155" s="86"/>
      <c r="Q155" s="14">
        <v>30</v>
      </c>
      <c r="R155" s="14">
        <v>4</v>
      </c>
      <c r="S155" s="14"/>
      <c r="T155" s="90"/>
      <c r="U155" s="14"/>
      <c r="V155" s="14"/>
      <c r="W155" s="14"/>
      <c r="X155" s="86"/>
      <c r="Y155" s="59">
        <f ca="1">Table24[[#This Row],[End Date]]+2-TODAY()</f>
        <v>-191</v>
      </c>
      <c r="Z155" s="14">
        <f>IF(ISBLANK(Table24[[#This Row],[Roster Received By]]),1,0)</f>
        <v>1</v>
      </c>
      <c r="AA155" s="14">
        <f ca="1">IF(Table24[[#This Row],[Start Date]]&gt;TODAY(),1,)</f>
        <v>0</v>
      </c>
    </row>
    <row r="156" spans="1:27" s="52" customFormat="1" x14ac:dyDescent="0.25">
      <c r="A156" s="86"/>
      <c r="B156" s="86" t="s">
        <v>60</v>
      </c>
      <c r="C156" s="87" t="s">
        <v>140</v>
      </c>
      <c r="D156" s="87" t="s">
        <v>141</v>
      </c>
      <c r="E156" s="86"/>
      <c r="F156" s="89">
        <v>45670</v>
      </c>
      <c r="G156" s="89">
        <v>45673</v>
      </c>
      <c r="H156" s="92"/>
      <c r="I156" s="92"/>
      <c r="J156" s="153">
        <v>0.33333333333333331</v>
      </c>
      <c r="K156" s="89"/>
      <c r="L156" s="89"/>
      <c r="M156" s="89"/>
      <c r="N156" s="89"/>
      <c r="O156" s="86"/>
      <c r="P156" s="86"/>
      <c r="Q156" s="14">
        <v>30</v>
      </c>
      <c r="R156" s="14">
        <v>4</v>
      </c>
      <c r="S156" s="14"/>
      <c r="T156" s="90"/>
      <c r="U156" s="14"/>
      <c r="V156" s="14"/>
      <c r="W156" s="14"/>
      <c r="X156" s="86"/>
      <c r="Y156" s="59">
        <f ca="1">Table24[[#This Row],[End Date]]+2-TODAY()</f>
        <v>-143</v>
      </c>
      <c r="Z156" s="14">
        <f>IF(ISBLANK(Table24[[#This Row],[Roster Received By]]),1,0)</f>
        <v>1</v>
      </c>
      <c r="AA156" s="14">
        <f ca="1">IF(Table24[[#This Row],[Start Date]]&gt;TODAY(),1,)</f>
        <v>0</v>
      </c>
    </row>
    <row r="157" spans="1:27" s="52" customFormat="1" x14ac:dyDescent="0.25">
      <c r="B157" s="86" t="s">
        <v>60</v>
      </c>
      <c r="C157" s="87" t="s">
        <v>140</v>
      </c>
      <c r="D157" s="87" t="s">
        <v>141</v>
      </c>
      <c r="E157" s="86"/>
      <c r="F157" s="89">
        <v>45698</v>
      </c>
      <c r="G157" s="89">
        <v>45701</v>
      </c>
      <c r="H157" s="89"/>
      <c r="I157" s="88"/>
      <c r="J157" s="88"/>
      <c r="K157" s="88"/>
      <c r="L157" s="153">
        <v>0.33333333333333331</v>
      </c>
      <c r="M157" s="88"/>
      <c r="N157" s="88"/>
      <c r="O157" s="86"/>
      <c r="P157" s="86"/>
      <c r="Q157" s="14">
        <v>30</v>
      </c>
      <c r="R157" s="14">
        <v>4</v>
      </c>
      <c r="S157" s="14"/>
      <c r="T157" s="90"/>
      <c r="U157" s="14"/>
      <c r="V157" s="14"/>
      <c r="W157" s="14"/>
      <c r="X157" s="86"/>
      <c r="Y157" s="59">
        <f ca="1">Table24[[#This Row],[End Date]]+2-TODAY()</f>
        <v>-115</v>
      </c>
      <c r="Z157" s="14">
        <f>IF(ISBLANK(Table24[[#This Row],[Roster Received By]]),1,0)</f>
        <v>1</v>
      </c>
      <c r="AA157" s="14">
        <f ca="1">IF(Table24[[#This Row],[Start Date]]&gt;TODAY(),1,)</f>
        <v>0</v>
      </c>
    </row>
    <row r="158" spans="1:27" s="52" customFormat="1" x14ac:dyDescent="0.25">
      <c r="B158" s="86" t="s">
        <v>60</v>
      </c>
      <c r="C158" s="87" t="s">
        <v>140</v>
      </c>
      <c r="D158" s="87" t="s">
        <v>141</v>
      </c>
      <c r="E158" s="86"/>
      <c r="F158" s="89">
        <v>45733</v>
      </c>
      <c r="G158" s="89">
        <v>45736</v>
      </c>
      <c r="H158" s="89"/>
      <c r="I158" s="88"/>
      <c r="J158" s="88"/>
      <c r="K158" s="88"/>
      <c r="L158" s="88"/>
      <c r="M158" s="153">
        <v>0.33333333333333331</v>
      </c>
      <c r="N158" s="88"/>
      <c r="O158" s="86"/>
      <c r="P158" s="86"/>
      <c r="Q158" s="14">
        <v>30</v>
      </c>
      <c r="R158" s="14">
        <v>4</v>
      </c>
      <c r="S158" s="14"/>
      <c r="T158" s="90"/>
      <c r="U158" s="14"/>
      <c r="V158" s="14"/>
      <c r="W158" s="14"/>
      <c r="X158" s="86"/>
      <c r="Y158" s="59">
        <f ca="1">Table24[[#This Row],[End Date]]+2-TODAY()</f>
        <v>-80</v>
      </c>
      <c r="Z158" s="14">
        <f>IF(ISBLANK(Table24[[#This Row],[Roster Received By]]),1,0)</f>
        <v>1</v>
      </c>
      <c r="AA158" s="14">
        <f ca="1">IF(Table24[[#This Row],[Start Date]]&gt;TODAY(),1,)</f>
        <v>0</v>
      </c>
    </row>
    <row r="159" spans="1:27" s="52" customFormat="1" x14ac:dyDescent="0.25">
      <c r="A159" s="54"/>
      <c r="B159" s="86" t="s">
        <v>60</v>
      </c>
      <c r="C159" s="87" t="s">
        <v>140</v>
      </c>
      <c r="D159" s="87" t="s">
        <v>141</v>
      </c>
      <c r="E159" s="86"/>
      <c r="F159" s="89">
        <v>45754</v>
      </c>
      <c r="G159" s="89">
        <v>45757</v>
      </c>
      <c r="H159" s="92"/>
      <c r="I159" s="92"/>
      <c r="J159" s="89"/>
      <c r="K159" s="89"/>
      <c r="L159" s="89"/>
      <c r="M159" s="89"/>
      <c r="N159" s="153">
        <v>0.33333333333333331</v>
      </c>
      <c r="O159" s="86"/>
      <c r="P159" s="86"/>
      <c r="Q159" s="14">
        <v>30</v>
      </c>
      <c r="R159" s="14">
        <v>4</v>
      </c>
      <c r="S159" s="90"/>
      <c r="T159" s="90"/>
      <c r="U159" s="14"/>
      <c r="V159" s="14"/>
      <c r="W159" s="87"/>
      <c r="X159" s="86"/>
      <c r="Y159" s="96">
        <f ca="1">Table24[[#This Row],[End Date]]+2-TODAY()</f>
        <v>-59</v>
      </c>
      <c r="Z159" s="14">
        <f>IF(ISBLANK(Table24[[#This Row],[Roster Received By]]),1,0)</f>
        <v>1</v>
      </c>
      <c r="AA159" s="87">
        <f ca="1">IF(Table24[[#This Row],[Start Date]]&gt;TODAY(),1,)</f>
        <v>0</v>
      </c>
    </row>
    <row r="160" spans="1:27" s="52" customFormat="1" x14ac:dyDescent="0.25">
      <c r="A160" s="87"/>
      <c r="B160" s="86" t="s">
        <v>60</v>
      </c>
      <c r="C160" s="87" t="s">
        <v>140</v>
      </c>
      <c r="D160" s="87" t="s">
        <v>141</v>
      </c>
      <c r="E160" s="86"/>
      <c r="F160" s="89">
        <v>45796</v>
      </c>
      <c r="G160" s="89">
        <v>45799</v>
      </c>
      <c r="H160" s="95"/>
      <c r="I160" s="153">
        <v>0.33333333333333331</v>
      </c>
      <c r="J160" s="89"/>
      <c r="K160" s="89"/>
      <c r="L160" s="89"/>
      <c r="M160" s="89"/>
      <c r="N160" s="89"/>
      <c r="O160" s="86"/>
      <c r="P160" s="86"/>
      <c r="Q160" s="14">
        <v>30</v>
      </c>
      <c r="R160" s="14">
        <v>4</v>
      </c>
      <c r="S160" s="94"/>
      <c r="T160" s="90"/>
      <c r="U160" s="14"/>
      <c r="V160" s="14"/>
      <c r="W160" s="14"/>
      <c r="X160" s="86"/>
      <c r="Y160" s="59">
        <f ca="1">Table24[[#This Row],[End Date]]+2-TODAY()</f>
        <v>-17</v>
      </c>
      <c r="Z160" s="14">
        <f>IF(ISBLANK(Table24[[#This Row],[Roster Received By]]),1,0)</f>
        <v>1</v>
      </c>
      <c r="AA160" s="14">
        <f ca="1">IF(Table24[[#This Row],[Start Date]]&gt;TODAY(),1,)</f>
        <v>0</v>
      </c>
    </row>
    <row r="161" spans="1:27" s="52" customFormat="1" ht="15" customHeight="1" x14ac:dyDescent="0.25">
      <c r="B161" s="86" t="s">
        <v>60</v>
      </c>
      <c r="C161" s="87" t="s">
        <v>140</v>
      </c>
      <c r="D161" s="87" t="s">
        <v>141</v>
      </c>
      <c r="E161" s="86"/>
      <c r="F161" s="89">
        <v>45810</v>
      </c>
      <c r="G161" s="89">
        <v>45813</v>
      </c>
      <c r="H161" s="95"/>
      <c r="I161" s="95"/>
      <c r="J161" s="153">
        <v>0.33333333333333331</v>
      </c>
      <c r="K161" s="89"/>
      <c r="L161" s="89"/>
      <c r="M161" s="89"/>
      <c r="N161" s="89"/>
      <c r="O161" s="86"/>
      <c r="P161" s="86"/>
      <c r="Q161" s="14">
        <v>30</v>
      </c>
      <c r="R161" s="14">
        <v>4</v>
      </c>
      <c r="S161" s="14"/>
      <c r="T161" s="90"/>
      <c r="U161" s="14"/>
      <c r="V161" s="14"/>
      <c r="W161" s="14"/>
      <c r="X161" s="86"/>
      <c r="Y161" s="59">
        <f ca="1">Table24[[#This Row],[End Date]]+2-TODAY()</f>
        <v>-3</v>
      </c>
      <c r="Z161" s="14">
        <f>IF(ISBLANK(Table24[[#This Row],[Roster Received By]]),1,0)</f>
        <v>1</v>
      </c>
      <c r="AA161" s="14">
        <f ca="1">IF(Table24[[#This Row],[Start Date]]&gt;TODAY(),1,)</f>
        <v>0</v>
      </c>
    </row>
    <row r="162" spans="1:27" s="52" customFormat="1" x14ac:dyDescent="0.25">
      <c r="B162" s="86" t="s">
        <v>60</v>
      </c>
      <c r="C162" s="87" t="s">
        <v>140</v>
      </c>
      <c r="D162" s="87" t="s">
        <v>141</v>
      </c>
      <c r="E162" s="86"/>
      <c r="F162" s="89">
        <v>45859</v>
      </c>
      <c r="G162" s="89">
        <v>45862</v>
      </c>
      <c r="H162" s="92"/>
      <c r="I162" s="92"/>
      <c r="J162" s="89"/>
      <c r="K162" s="89"/>
      <c r="L162" s="89"/>
      <c r="M162" s="153">
        <v>0.33333333333333331</v>
      </c>
      <c r="N162" s="89"/>
      <c r="O162" s="86"/>
      <c r="P162" s="86"/>
      <c r="Q162" s="14">
        <v>30</v>
      </c>
      <c r="R162" s="14">
        <v>4</v>
      </c>
      <c r="S162" s="14"/>
      <c r="T162" s="90"/>
      <c r="U162" s="14"/>
      <c r="V162" s="14"/>
      <c r="W162" s="14"/>
      <c r="X162" s="86"/>
      <c r="Y162" s="59">
        <f ca="1">Table24[[#This Row],[End Date]]+2-TODAY()</f>
        <v>46</v>
      </c>
      <c r="Z162" s="14">
        <f>IF(ISBLANK(Table24[[#This Row],[Roster Received By]]),1,0)</f>
        <v>1</v>
      </c>
      <c r="AA162" s="14">
        <f ca="1">IF(Table24[[#This Row],[Start Date]]&gt;TODAY(),1,)</f>
        <v>1</v>
      </c>
    </row>
    <row r="163" spans="1:27" s="52" customFormat="1" x14ac:dyDescent="0.25">
      <c r="B163" s="86" t="s">
        <v>60</v>
      </c>
      <c r="C163" s="87" t="s">
        <v>140</v>
      </c>
      <c r="D163" s="87" t="s">
        <v>141</v>
      </c>
      <c r="E163" s="86"/>
      <c r="F163" s="89">
        <v>45887</v>
      </c>
      <c r="G163" s="89">
        <v>45890</v>
      </c>
      <c r="H163" s="92"/>
      <c r="I163" s="153">
        <v>0.33333333333333331</v>
      </c>
      <c r="J163" s="89"/>
      <c r="K163" s="89"/>
      <c r="L163" s="89"/>
      <c r="M163" s="89"/>
      <c r="N163" s="89"/>
      <c r="O163" s="86"/>
      <c r="P163" s="86"/>
      <c r="Q163" s="14">
        <v>30</v>
      </c>
      <c r="R163" s="14">
        <v>4</v>
      </c>
      <c r="S163" s="90"/>
      <c r="T163" s="90"/>
      <c r="U163" s="14"/>
      <c r="V163" s="14"/>
      <c r="W163" s="14"/>
      <c r="X163" s="86"/>
      <c r="Y163" s="59">
        <f ca="1">Table24[[#This Row],[End Date]]+2-TODAY()</f>
        <v>74</v>
      </c>
      <c r="Z163" s="14">
        <f>IF(ISBLANK(Table24[[#This Row],[Roster Received By]]),1,0)</f>
        <v>1</v>
      </c>
      <c r="AA163" s="14">
        <f ca="1">IF(Table24[[#This Row],[Start Date]]&gt;TODAY(),1,)</f>
        <v>1</v>
      </c>
    </row>
    <row r="164" spans="1:27" s="52" customFormat="1" x14ac:dyDescent="0.25">
      <c r="B164" s="86" t="s">
        <v>60</v>
      </c>
      <c r="C164" s="87" t="s">
        <v>140</v>
      </c>
      <c r="D164" s="87" t="s">
        <v>141</v>
      </c>
      <c r="E164" s="86"/>
      <c r="F164" s="89">
        <v>45915</v>
      </c>
      <c r="G164" s="89">
        <v>45918</v>
      </c>
      <c r="H164" s="92"/>
      <c r="I164" s="92"/>
      <c r="J164" s="89"/>
      <c r="K164" s="89"/>
      <c r="L164" s="153">
        <v>0.33333333333333331</v>
      </c>
      <c r="M164" s="89"/>
      <c r="N164" s="89"/>
      <c r="O164" s="86"/>
      <c r="P164" s="86"/>
      <c r="Q164" s="14">
        <v>30</v>
      </c>
      <c r="R164" s="14">
        <v>4</v>
      </c>
      <c r="S164" s="14"/>
      <c r="T164" s="90"/>
      <c r="U164" s="14"/>
      <c r="V164" s="14"/>
      <c r="W164" s="14"/>
      <c r="X164" s="86"/>
      <c r="Y164" s="59">
        <f ca="1">Table24[[#This Row],[End Date]]+2-TODAY()</f>
        <v>102</v>
      </c>
      <c r="Z164" s="14">
        <f>IF(ISBLANK(Table24[[#This Row],[Roster Received By]]),1,0)</f>
        <v>1</v>
      </c>
      <c r="AA164" s="14">
        <f ca="1">IF(Table24[[#This Row],[Start Date]]&gt;TODAY(),1,)</f>
        <v>1</v>
      </c>
    </row>
    <row r="165" spans="1:27" s="52" customFormat="1" x14ac:dyDescent="0.25">
      <c r="B165" s="86"/>
      <c r="C165" s="87"/>
      <c r="D165" s="87"/>
      <c r="E165" s="128"/>
      <c r="F165" s="89"/>
      <c r="G165" s="89"/>
      <c r="H165" s="92"/>
      <c r="I165" s="88"/>
      <c r="J165" s="88"/>
      <c r="K165" s="88"/>
      <c r="L165" s="88"/>
      <c r="M165" s="88"/>
      <c r="N165" s="88"/>
      <c r="O165" s="86"/>
      <c r="P165" s="86"/>
      <c r="Q165" s="14" t="e">
        <v>#N/A</v>
      </c>
      <c r="R165" s="14" t="e">
        <v>#N/A</v>
      </c>
      <c r="S165" s="14"/>
      <c r="T165" s="90"/>
      <c r="U165" s="14"/>
      <c r="V165" s="14"/>
      <c r="W165" s="14"/>
      <c r="X165" s="86"/>
      <c r="Y165" s="59">
        <f ca="1">Table24[[#This Row],[End Date]]+2-TODAY()</f>
        <v>-45816</v>
      </c>
      <c r="Z165" s="14">
        <f>IF(ISBLANK(Table24[[#This Row],[Roster Received By]]),1,0)</f>
        <v>1</v>
      </c>
      <c r="AA165" s="14">
        <f ca="1">IF(Table24[[#This Row],[Start Date]]&gt;TODAY(),1,)</f>
        <v>0</v>
      </c>
    </row>
    <row r="166" spans="1:27" s="52" customFormat="1" x14ac:dyDescent="0.25">
      <c r="A166" s="86"/>
      <c r="B166" s="86"/>
      <c r="C166" s="87"/>
      <c r="D166" s="87"/>
      <c r="E166" s="54"/>
      <c r="F166" s="56"/>
      <c r="G166" s="56"/>
      <c r="H166" s="92"/>
      <c r="I166" s="92"/>
      <c r="J166" s="89"/>
      <c r="K166" s="89"/>
      <c r="L166" s="89"/>
      <c r="M166" s="89"/>
      <c r="N166" s="89"/>
      <c r="O166" s="86"/>
      <c r="P166" s="86"/>
      <c r="Q166" s="14" t="e">
        <v>#N/A</v>
      </c>
      <c r="R166" s="14" t="e">
        <v>#N/A</v>
      </c>
      <c r="S166" s="14"/>
      <c r="T166" s="90"/>
      <c r="U166" s="14"/>
      <c r="V166" s="14"/>
      <c r="W166" s="14"/>
      <c r="X166" s="86"/>
      <c r="Y166" s="59">
        <f ca="1">Table24[[#This Row],[End Date]]+2-TODAY()</f>
        <v>-45816</v>
      </c>
      <c r="Z166" s="14">
        <f>IF(ISBLANK(Table24[[#This Row],[Roster Received By]]),1,0)</f>
        <v>1</v>
      </c>
      <c r="AA166" s="14">
        <f ca="1">IF(Table24[[#This Row],[Start Date]]&gt;TODAY(),1,)</f>
        <v>0</v>
      </c>
    </row>
    <row r="167" spans="1:27" s="52" customFormat="1" x14ac:dyDescent="0.25">
      <c r="B167" s="86"/>
      <c r="C167" s="87"/>
      <c r="D167" s="87"/>
      <c r="E167" s="86"/>
      <c r="F167" s="89"/>
      <c r="G167" s="89"/>
      <c r="H167" s="89"/>
      <c r="I167" s="88"/>
      <c r="J167" s="88"/>
      <c r="K167" s="88"/>
      <c r="L167" s="88"/>
      <c r="M167" s="88"/>
      <c r="N167" s="88"/>
      <c r="O167" s="86"/>
      <c r="P167" s="86"/>
      <c r="Q167" s="14" t="e">
        <v>#N/A</v>
      </c>
      <c r="R167" s="14" t="e">
        <v>#N/A</v>
      </c>
      <c r="S167" s="14"/>
      <c r="T167" s="90"/>
      <c r="U167" s="14"/>
      <c r="V167" s="14"/>
      <c r="W167" s="14"/>
      <c r="X167" s="86"/>
      <c r="Y167" s="59">
        <f ca="1">Table24[[#This Row],[End Date]]+2-TODAY()</f>
        <v>-45816</v>
      </c>
      <c r="Z167" s="14">
        <f>IF(ISBLANK(Table24[[#This Row],[Roster Received By]]),1,0)</f>
        <v>1</v>
      </c>
      <c r="AA167" s="14">
        <f ca="1">IF(Table24[[#This Row],[Start Date]]&gt;TODAY(),1,)</f>
        <v>0</v>
      </c>
    </row>
    <row r="168" spans="1:27" s="52" customFormat="1" x14ac:dyDescent="0.25">
      <c r="B168" s="86"/>
      <c r="C168" s="87"/>
      <c r="D168" s="87"/>
      <c r="E168" s="86"/>
      <c r="F168" s="89"/>
      <c r="G168" s="89"/>
      <c r="H168" s="89"/>
      <c r="I168" s="88"/>
      <c r="J168" s="88"/>
      <c r="K168" s="88"/>
      <c r="L168" s="88"/>
      <c r="M168" s="88"/>
      <c r="N168" s="88"/>
      <c r="O168" s="86"/>
      <c r="P168" s="86"/>
      <c r="Q168" s="14" t="e">
        <v>#N/A</v>
      </c>
      <c r="R168" s="14" t="e">
        <v>#N/A</v>
      </c>
      <c r="S168" s="14"/>
      <c r="T168" s="90"/>
      <c r="U168" s="14"/>
      <c r="V168" s="14"/>
      <c r="W168" s="87"/>
      <c r="X168" s="86"/>
      <c r="Y168" s="59">
        <f ca="1">Table24[[#This Row],[End Date]]+2-TODAY()</f>
        <v>-45816</v>
      </c>
      <c r="Z168" s="14">
        <f>IF(ISBLANK(Table24[[#This Row],[Roster Received By]]),1,0)</f>
        <v>1</v>
      </c>
      <c r="AA168" s="14">
        <f ca="1">IF(Table24[[#This Row],[Start Date]]&gt;TODAY(),1,)</f>
        <v>0</v>
      </c>
    </row>
    <row r="169" spans="1:27" s="52" customFormat="1" x14ac:dyDescent="0.25">
      <c r="B169" s="86"/>
      <c r="C169" s="87"/>
      <c r="D169" s="87"/>
      <c r="E169" s="86"/>
      <c r="F169" s="97"/>
      <c r="G169" s="97"/>
      <c r="H169" s="92"/>
      <c r="I169" s="88"/>
      <c r="J169" s="88"/>
      <c r="K169" s="88"/>
      <c r="L169" s="88"/>
      <c r="M169" s="88"/>
      <c r="N169" s="88"/>
      <c r="O169" s="86"/>
      <c r="P169" s="86"/>
      <c r="Q169" s="14" t="e">
        <v>#N/A</v>
      </c>
      <c r="R169" s="14" t="e">
        <v>#N/A</v>
      </c>
      <c r="S169" s="90"/>
      <c r="T169" s="90"/>
      <c r="U169" s="14"/>
      <c r="V169" s="14"/>
      <c r="W169" s="87"/>
      <c r="X169" s="86"/>
      <c r="Y169" s="59">
        <f ca="1">Table24[[#This Row],[End Date]]+2-TODAY()</f>
        <v>-45816</v>
      </c>
      <c r="Z169" s="14">
        <f>IF(ISBLANK(Table24[[#This Row],[Roster Received By]]),1,0)</f>
        <v>1</v>
      </c>
      <c r="AA169" s="14">
        <f ca="1">IF(Table24[[#This Row],[Start Date]]&gt;TODAY(),1,)</f>
        <v>0</v>
      </c>
    </row>
    <row r="170" spans="1:27" s="52" customFormat="1" x14ac:dyDescent="0.25">
      <c r="B170" s="86"/>
      <c r="C170" s="87"/>
      <c r="D170" s="87"/>
      <c r="E170" s="111"/>
      <c r="F170" s="85"/>
      <c r="G170" s="85"/>
      <c r="H170" s="88"/>
      <c r="I170" s="88"/>
      <c r="J170" s="88"/>
      <c r="K170" s="88"/>
      <c r="L170" s="88"/>
      <c r="M170" s="88"/>
      <c r="N170" s="88"/>
      <c r="O170" s="86"/>
      <c r="P170" s="86"/>
      <c r="Q170" s="14" t="e">
        <v>#N/A</v>
      </c>
      <c r="R170" s="14" t="e">
        <v>#N/A</v>
      </c>
      <c r="S170" s="14"/>
      <c r="T170" s="90"/>
      <c r="U170" s="14"/>
      <c r="V170" s="14"/>
      <c r="W170" s="14"/>
      <c r="X170" s="86"/>
      <c r="Y170" s="59">
        <f ca="1">Table24[[#This Row],[End Date]]+2-TODAY()</f>
        <v>-45816</v>
      </c>
      <c r="Z170" s="14">
        <f>IF(ISBLANK(Table24[[#This Row],[Roster Received By]]),1,0)</f>
        <v>1</v>
      </c>
      <c r="AA170" s="14">
        <f ca="1">IF(Table24[[#This Row],[Start Date]]&gt;TODAY(),1,)</f>
        <v>0</v>
      </c>
    </row>
    <row r="171" spans="1:27" s="52" customFormat="1" x14ac:dyDescent="0.25">
      <c r="B171" s="86"/>
      <c r="C171" s="87"/>
      <c r="D171" s="87"/>
      <c r="E171"/>
      <c r="F171" s="97"/>
      <c r="G171" s="97"/>
      <c r="H171" s="92"/>
      <c r="I171" s="92"/>
      <c r="J171" s="89"/>
      <c r="K171" s="89"/>
      <c r="L171" s="89"/>
      <c r="M171" s="89"/>
      <c r="N171" s="89"/>
      <c r="O171" s="86"/>
      <c r="P171" s="86"/>
      <c r="Q171" s="14" t="e">
        <v>#N/A</v>
      </c>
      <c r="R171" s="14" t="e">
        <v>#N/A</v>
      </c>
      <c r="S171" s="14"/>
      <c r="T171" s="90"/>
      <c r="U171" s="14"/>
      <c r="V171" s="14"/>
      <c r="W171" s="14"/>
      <c r="X171" s="86"/>
      <c r="Y171" s="59">
        <f ca="1">Table24[[#This Row],[End Date]]+2-TODAY()</f>
        <v>-45816</v>
      </c>
      <c r="Z171" s="14">
        <f>IF(ISBLANK(Table24[[#This Row],[Roster Received By]]),1,0)</f>
        <v>1</v>
      </c>
      <c r="AA171" s="14">
        <f ca="1">IF(Table24[[#This Row],[Start Date]]&gt;TODAY(),1,)</f>
        <v>0</v>
      </c>
    </row>
    <row r="172" spans="1:27" s="52" customFormat="1" x14ac:dyDescent="0.25">
      <c r="B172" s="86"/>
      <c r="C172" s="87"/>
      <c r="D172" s="87"/>
      <c r="E172" s="86"/>
      <c r="F172" s="97"/>
      <c r="G172" s="97"/>
      <c r="H172" s="89"/>
      <c r="I172" s="88"/>
      <c r="J172" s="88"/>
      <c r="K172" s="88"/>
      <c r="L172" s="88"/>
      <c r="M172" s="88"/>
      <c r="N172" s="88"/>
      <c r="O172" s="86"/>
      <c r="P172" s="86"/>
      <c r="Q172" s="14" t="e">
        <v>#N/A</v>
      </c>
      <c r="R172" s="14" t="e">
        <v>#N/A</v>
      </c>
      <c r="S172" s="14"/>
      <c r="T172" s="90"/>
      <c r="U172" s="14"/>
      <c r="V172" s="14"/>
      <c r="W172" s="14"/>
      <c r="X172" s="86"/>
      <c r="Y172" s="59">
        <f ca="1">Table24[[#This Row],[End Date]]+2-TODAY()</f>
        <v>-45816</v>
      </c>
      <c r="Z172" s="14">
        <f>IF(ISBLANK(Table24[[#This Row],[Roster Received By]]),1,0)</f>
        <v>1</v>
      </c>
      <c r="AA172" s="14">
        <f ca="1">IF(Table24[[#This Row],[Start Date]]&gt;TODAY(),1,)</f>
        <v>0</v>
      </c>
    </row>
    <row r="173" spans="1:27" s="52" customFormat="1" x14ac:dyDescent="0.25">
      <c r="B173" s="86"/>
      <c r="C173" s="87"/>
      <c r="D173" s="87"/>
      <c r="E173" s="86"/>
      <c r="F173" s="89"/>
      <c r="G173" s="89"/>
      <c r="H173" s="89"/>
      <c r="I173" s="88"/>
      <c r="J173" s="88"/>
      <c r="K173" s="88"/>
      <c r="L173" s="88"/>
      <c r="M173" s="88"/>
      <c r="N173" s="88"/>
      <c r="O173" s="86"/>
      <c r="P173" s="86"/>
      <c r="Q173" s="14" t="e">
        <v>#N/A</v>
      </c>
      <c r="R173" s="14" t="e">
        <v>#N/A</v>
      </c>
      <c r="S173" s="14"/>
      <c r="T173" s="90"/>
      <c r="U173" s="14"/>
      <c r="V173" s="14"/>
      <c r="W173" s="14"/>
      <c r="X173" s="86"/>
      <c r="Y173" s="59">
        <f ca="1">Table24[[#This Row],[End Date]]+2-TODAY()</f>
        <v>-45816</v>
      </c>
      <c r="Z173" s="14">
        <f>IF(ISBLANK(Table24[[#This Row],[Roster Received By]]),1,0)</f>
        <v>1</v>
      </c>
      <c r="AA173" s="14">
        <f ca="1">IF(Table24[[#This Row],[Start Date]]&gt;TODAY(),1,)</f>
        <v>0</v>
      </c>
    </row>
    <row r="174" spans="1:27" s="52" customFormat="1" x14ac:dyDescent="0.25">
      <c r="B174" s="86"/>
      <c r="C174" s="87"/>
      <c r="D174" s="87"/>
      <c r="E174" s="86"/>
      <c r="F174" s="97"/>
      <c r="G174" s="97"/>
      <c r="H174" s="89"/>
      <c r="I174" s="88"/>
      <c r="J174" s="88"/>
      <c r="K174" s="88"/>
      <c r="L174" s="88"/>
      <c r="M174" s="88"/>
      <c r="N174" s="88"/>
      <c r="O174" s="86"/>
      <c r="P174" s="86"/>
      <c r="Q174" s="14" t="e">
        <v>#N/A</v>
      </c>
      <c r="R174" s="14" t="e">
        <v>#N/A</v>
      </c>
      <c r="S174" s="14"/>
      <c r="T174" s="90"/>
      <c r="U174" s="14"/>
      <c r="V174" s="14"/>
      <c r="W174" s="14"/>
      <c r="X174" s="86"/>
      <c r="Y174" s="59">
        <f ca="1">Table24[[#This Row],[End Date]]+2-TODAY()</f>
        <v>-45816</v>
      </c>
      <c r="Z174" s="14">
        <f>IF(ISBLANK(Table24[[#This Row],[Roster Received By]]),1,0)</f>
        <v>1</v>
      </c>
      <c r="AA174" s="14">
        <f ca="1">IF(Table24[[#This Row],[Start Date]]&gt;TODAY(),1,)</f>
        <v>0</v>
      </c>
    </row>
    <row r="175" spans="1:27" s="52" customFormat="1" x14ac:dyDescent="0.25">
      <c r="B175" s="86"/>
      <c r="C175" s="87"/>
      <c r="D175" s="87"/>
      <c r="E175" s="86"/>
      <c r="F175" s="97"/>
      <c r="G175" s="97"/>
      <c r="H175" s="89"/>
      <c r="I175" s="88"/>
      <c r="J175" s="88"/>
      <c r="K175" s="88"/>
      <c r="L175" s="88"/>
      <c r="M175" s="88"/>
      <c r="N175" s="88"/>
      <c r="O175" s="86"/>
      <c r="P175" s="86"/>
      <c r="Q175" s="14" t="e">
        <v>#N/A</v>
      </c>
      <c r="R175" s="14" t="e">
        <v>#N/A</v>
      </c>
      <c r="S175" s="14"/>
      <c r="T175" s="90"/>
      <c r="U175" s="14"/>
      <c r="V175" s="14"/>
      <c r="W175" s="14"/>
      <c r="X175" s="86"/>
      <c r="Y175" s="59">
        <f ca="1">Table24[[#This Row],[End Date]]+2-TODAY()</f>
        <v>-45816</v>
      </c>
      <c r="Z175" s="14">
        <f>IF(ISBLANK(Table24[[#This Row],[Roster Received By]]),1,0)</f>
        <v>1</v>
      </c>
      <c r="AA175" s="14">
        <f ca="1">IF(Table24[[#This Row],[Start Date]]&gt;TODAY(),1,)</f>
        <v>0</v>
      </c>
    </row>
    <row r="176" spans="1:27" s="52" customFormat="1" x14ac:dyDescent="0.25">
      <c r="B176" s="86"/>
      <c r="C176" s="87"/>
      <c r="D176" s="87"/>
      <c r="E176" s="86"/>
      <c r="F176" s="97"/>
      <c r="G176" s="97"/>
      <c r="H176" s="89"/>
      <c r="I176" s="88"/>
      <c r="J176" s="88"/>
      <c r="K176" s="88"/>
      <c r="L176" s="88"/>
      <c r="M176" s="88"/>
      <c r="N176" s="88"/>
      <c r="O176" s="86"/>
      <c r="P176" s="86"/>
      <c r="Q176" s="14" t="e">
        <v>#N/A</v>
      </c>
      <c r="R176" s="14" t="e">
        <v>#N/A</v>
      </c>
      <c r="S176" s="14"/>
      <c r="T176" s="90"/>
      <c r="U176" s="14"/>
      <c r="V176" s="14"/>
      <c r="W176" s="14"/>
      <c r="X176" s="86"/>
      <c r="Y176" s="59">
        <f ca="1">Table24[[#This Row],[End Date]]+2-TODAY()</f>
        <v>-45816</v>
      </c>
      <c r="Z176" s="14">
        <f>IF(ISBLANK(Table24[[#This Row],[Roster Received By]]),1,0)</f>
        <v>1</v>
      </c>
      <c r="AA176" s="14">
        <f ca="1">IF(Table24[[#This Row],[Start Date]]&gt;TODAY(),1,)</f>
        <v>0</v>
      </c>
    </row>
    <row r="177" spans="1:27" s="52" customFormat="1" x14ac:dyDescent="0.25">
      <c r="B177" s="86"/>
      <c r="C177" s="87"/>
      <c r="D177" s="87"/>
      <c r="E177" s="86"/>
      <c r="F177" s="97"/>
      <c r="G177" s="97"/>
      <c r="H177" s="89"/>
      <c r="I177" s="88"/>
      <c r="J177" s="88"/>
      <c r="K177" s="88"/>
      <c r="L177" s="88"/>
      <c r="M177" s="88"/>
      <c r="N177" s="88"/>
      <c r="O177" s="86"/>
      <c r="P177" s="86"/>
      <c r="Q177" s="14" t="e">
        <v>#N/A</v>
      </c>
      <c r="R177" s="14" t="e">
        <v>#N/A</v>
      </c>
      <c r="S177" s="14"/>
      <c r="T177" s="90"/>
      <c r="U177" s="14"/>
      <c r="V177" s="14"/>
      <c r="W177" s="87"/>
      <c r="X177" s="86"/>
      <c r="Y177" s="59">
        <f ca="1">Table24[[#This Row],[End Date]]+2-TODAY()</f>
        <v>-45816</v>
      </c>
      <c r="Z177" s="14">
        <f>IF(ISBLANK(Table24[[#This Row],[Roster Received By]]),1,0)</f>
        <v>1</v>
      </c>
      <c r="AA177" s="14">
        <f ca="1">IF(Table24[[#This Row],[Start Date]]&gt;TODAY(),1,)</f>
        <v>0</v>
      </c>
    </row>
    <row r="178" spans="1:27" s="52" customFormat="1" x14ac:dyDescent="0.25">
      <c r="B178" s="86"/>
      <c r="C178" s="87"/>
      <c r="D178" s="87"/>
      <c r="E178" s="86"/>
      <c r="F178" s="97"/>
      <c r="G178" s="97"/>
      <c r="H178" s="89"/>
      <c r="I178" s="88"/>
      <c r="J178" s="88"/>
      <c r="K178" s="88"/>
      <c r="L178" s="88"/>
      <c r="M178" s="88"/>
      <c r="N178" s="88"/>
      <c r="O178" s="86"/>
      <c r="P178" s="86"/>
      <c r="Q178" s="14" t="e">
        <v>#N/A</v>
      </c>
      <c r="R178" s="14" t="e">
        <v>#N/A</v>
      </c>
      <c r="S178" s="14"/>
      <c r="T178" s="90"/>
      <c r="U178" s="14"/>
      <c r="V178" s="14"/>
      <c r="W178" s="14"/>
      <c r="X178" s="86"/>
      <c r="Y178" s="59">
        <f ca="1">Table24[[#This Row],[End Date]]+2-TODAY()</f>
        <v>-45816</v>
      </c>
      <c r="Z178" s="14">
        <f>IF(ISBLANK(Table24[[#This Row],[Roster Received By]]),1,0)</f>
        <v>1</v>
      </c>
      <c r="AA178" s="14">
        <f ca="1">IF(Table24[[#This Row],[Start Date]]&gt;TODAY(),1,)</f>
        <v>0</v>
      </c>
    </row>
    <row r="179" spans="1:27" s="52" customFormat="1" x14ac:dyDescent="0.25">
      <c r="B179" s="86"/>
      <c r="C179" s="87"/>
      <c r="D179" s="87"/>
      <c r="E179" s="86"/>
      <c r="F179" s="97"/>
      <c r="G179" s="97"/>
      <c r="H179" s="89"/>
      <c r="I179" s="88"/>
      <c r="J179" s="88"/>
      <c r="K179" s="88"/>
      <c r="L179" s="88"/>
      <c r="M179" s="88"/>
      <c r="N179" s="88"/>
      <c r="O179" s="86"/>
      <c r="P179" s="86"/>
      <c r="Q179" s="14" t="e">
        <v>#N/A</v>
      </c>
      <c r="R179" s="14" t="e">
        <v>#N/A</v>
      </c>
      <c r="S179" s="14"/>
      <c r="T179" s="90"/>
      <c r="U179" s="14"/>
      <c r="V179" s="14"/>
      <c r="W179" s="14"/>
      <c r="X179" s="86"/>
      <c r="Y179" s="59">
        <f ca="1">Table24[[#This Row],[End Date]]+2-TODAY()</f>
        <v>-45816</v>
      </c>
      <c r="Z179" s="14">
        <f>IF(ISBLANK(Table24[[#This Row],[Roster Received By]]),1,0)</f>
        <v>1</v>
      </c>
      <c r="AA179" s="14">
        <f ca="1">IF(Table24[[#This Row],[Start Date]]&gt;TODAY(),1,)</f>
        <v>0</v>
      </c>
    </row>
    <row r="180" spans="1:27" s="52" customFormat="1" x14ac:dyDescent="0.25">
      <c r="B180" s="86"/>
      <c r="C180" s="87"/>
      <c r="D180" s="87"/>
      <c r="E180" s="86"/>
      <c r="F180" s="97"/>
      <c r="G180" s="97"/>
      <c r="H180" s="92"/>
      <c r="I180" s="92"/>
      <c r="J180" s="92"/>
      <c r="K180" s="92"/>
      <c r="L180" s="92"/>
      <c r="M180" s="92"/>
      <c r="N180" s="89"/>
      <c r="O180" s="86"/>
      <c r="P180" s="86"/>
      <c r="Q180" s="14" t="e">
        <v>#N/A</v>
      </c>
      <c r="R180" s="14" t="e">
        <v>#N/A</v>
      </c>
      <c r="S180" s="14"/>
      <c r="T180" s="90"/>
      <c r="U180" s="14"/>
      <c r="V180" s="14"/>
      <c r="W180" s="14"/>
      <c r="X180" s="86"/>
      <c r="Y180" s="59">
        <f ca="1">Table24[[#This Row],[End Date]]+2-TODAY()</f>
        <v>-45816</v>
      </c>
      <c r="Z180" s="14">
        <f>IF(ISBLANK(Table24[[#This Row],[Roster Received By]]),1,0)</f>
        <v>1</v>
      </c>
      <c r="AA180" s="14">
        <f ca="1">IF(Table24[[#This Row],[Start Date]]&gt;TODAY(),1,)</f>
        <v>0</v>
      </c>
    </row>
    <row r="181" spans="1:27" s="52" customFormat="1" x14ac:dyDescent="0.25">
      <c r="B181" s="86"/>
      <c r="C181" s="87"/>
      <c r="D181" s="87"/>
      <c r="E181" s="86"/>
      <c r="F181" s="89"/>
      <c r="G181" s="89"/>
      <c r="H181" s="89"/>
      <c r="I181" s="88"/>
      <c r="J181" s="88"/>
      <c r="K181" s="88"/>
      <c r="L181" s="88"/>
      <c r="M181" s="88"/>
      <c r="N181" s="88"/>
      <c r="O181" s="86"/>
      <c r="P181" s="86"/>
      <c r="Q181" s="14" t="e">
        <v>#N/A</v>
      </c>
      <c r="R181" s="14" t="e">
        <v>#N/A</v>
      </c>
      <c r="S181" s="14"/>
      <c r="T181" s="90"/>
      <c r="U181" s="14"/>
      <c r="V181" s="14"/>
      <c r="W181" s="14"/>
      <c r="X181" s="86"/>
      <c r="Y181" s="59">
        <f ca="1">Table24[[#This Row],[End Date]]+2-TODAY()</f>
        <v>-45816</v>
      </c>
      <c r="Z181" s="14">
        <f>IF(ISBLANK(Table24[[#This Row],[Roster Received By]]),1,0)</f>
        <v>1</v>
      </c>
      <c r="AA181" s="14">
        <f ca="1">IF(Table24[[#This Row],[Start Date]]&gt;TODAY(),1,)</f>
        <v>0</v>
      </c>
    </row>
    <row r="182" spans="1:27" s="15" customFormat="1" ht="14.25" customHeight="1" x14ac:dyDescent="0.25">
      <c r="A182" s="52"/>
      <c r="B182" s="86"/>
      <c r="C182" s="87"/>
      <c r="D182" s="87"/>
      <c r="E182" s="86"/>
      <c r="F182" s="89"/>
      <c r="G182" s="89"/>
      <c r="H182" s="92"/>
      <c r="I182" s="92"/>
      <c r="J182" s="89"/>
      <c r="K182" s="89"/>
      <c r="L182" s="89"/>
      <c r="M182" s="89"/>
      <c r="N182" s="89"/>
      <c r="O182" s="86"/>
      <c r="P182" s="86"/>
      <c r="Q182" s="14" t="e">
        <v>#N/A</v>
      </c>
      <c r="R182" s="14" t="e">
        <v>#N/A</v>
      </c>
      <c r="S182" s="14"/>
      <c r="T182" s="90"/>
      <c r="U182" s="14"/>
      <c r="V182" s="14"/>
      <c r="W182" s="14"/>
      <c r="X182" s="86"/>
      <c r="Y182" s="59">
        <f ca="1">Table24[[#This Row],[End Date]]+2-TODAY()</f>
        <v>-45816</v>
      </c>
      <c r="Z182" s="14">
        <f>IF(ISBLANK(Table24[[#This Row],[Roster Received By]]),1,0)</f>
        <v>1</v>
      </c>
      <c r="AA182" s="14">
        <f ca="1">IF(Table24[[#This Row],[Start Date]]&gt;TODAY(),1,)</f>
        <v>0</v>
      </c>
    </row>
    <row r="183" spans="1:27" s="52" customFormat="1" ht="15" customHeight="1" x14ac:dyDescent="0.25">
      <c r="B183" s="86"/>
      <c r="C183" s="87"/>
      <c r="D183" s="87"/>
      <c r="E183" s="86"/>
      <c r="F183" s="97"/>
      <c r="G183" s="97"/>
      <c r="H183" s="92"/>
      <c r="I183" s="92"/>
      <c r="J183" s="89"/>
      <c r="K183" s="89"/>
      <c r="L183" s="89"/>
      <c r="M183" s="89"/>
      <c r="N183" s="89"/>
      <c r="O183" s="86"/>
      <c r="P183" s="86"/>
      <c r="Q183" s="14" t="e">
        <v>#N/A</v>
      </c>
      <c r="R183" s="14" t="e">
        <v>#N/A</v>
      </c>
      <c r="S183" s="14"/>
      <c r="T183" s="90"/>
      <c r="U183" s="14"/>
      <c r="V183" s="14"/>
      <c r="W183" s="14"/>
      <c r="X183" s="86"/>
      <c r="Y183" s="59">
        <f ca="1">Table24[[#This Row],[End Date]]+2-TODAY()</f>
        <v>-45816</v>
      </c>
      <c r="Z183" s="14">
        <f>IF(ISBLANK(Table24[[#This Row],[Roster Received By]]),1,0)</f>
        <v>1</v>
      </c>
      <c r="AA183" s="14">
        <f ca="1">IF(Table24[[#This Row],[Start Date]]&gt;TODAY(),1,)</f>
        <v>0</v>
      </c>
    </row>
    <row r="184" spans="1:27" s="52" customFormat="1" x14ac:dyDescent="0.25">
      <c r="B184" s="86"/>
      <c r="C184" s="87"/>
      <c r="D184" s="87"/>
      <c r="E184" s="86"/>
      <c r="F184" s="97"/>
      <c r="G184" s="97"/>
      <c r="H184" s="89"/>
      <c r="I184" s="88"/>
      <c r="J184" s="88"/>
      <c r="K184" s="88"/>
      <c r="L184" s="88"/>
      <c r="M184" s="88"/>
      <c r="N184" s="88"/>
      <c r="O184" s="86"/>
      <c r="P184" s="86"/>
      <c r="Q184" s="14" t="e">
        <v>#N/A</v>
      </c>
      <c r="R184" s="14" t="e">
        <v>#N/A</v>
      </c>
      <c r="S184" s="14"/>
      <c r="T184" s="90"/>
      <c r="U184" s="14"/>
      <c r="V184" s="14"/>
      <c r="W184" s="14"/>
      <c r="X184" s="86"/>
      <c r="Y184" s="59">
        <f ca="1">Table24[[#This Row],[End Date]]+2-TODAY()</f>
        <v>-45816</v>
      </c>
      <c r="Z184" s="14">
        <f>IF(ISBLANK(Table24[[#This Row],[Roster Received By]]),1,0)</f>
        <v>1</v>
      </c>
      <c r="AA184" s="14">
        <f ca="1">IF(Table24[[#This Row],[Start Date]]&gt;TODAY(),1,)</f>
        <v>0</v>
      </c>
    </row>
    <row r="185" spans="1:27" s="52" customFormat="1" x14ac:dyDescent="0.25">
      <c r="B185" s="86"/>
      <c r="C185" s="87"/>
      <c r="D185" s="87"/>
      <c r="E185" s="86"/>
      <c r="F185" s="89"/>
      <c r="G185" s="89"/>
      <c r="H185" s="92"/>
      <c r="I185" s="92"/>
      <c r="J185" s="89"/>
      <c r="K185" s="89"/>
      <c r="L185" s="89"/>
      <c r="M185" s="89"/>
      <c r="N185" s="89"/>
      <c r="O185" s="86"/>
      <c r="P185" s="86"/>
      <c r="Q185" s="14" t="e">
        <v>#N/A</v>
      </c>
      <c r="R185" s="14" t="e">
        <v>#N/A</v>
      </c>
      <c r="S185" s="90"/>
      <c r="T185" s="90"/>
      <c r="U185" s="14"/>
      <c r="V185" s="14"/>
      <c r="W185" s="14"/>
      <c r="X185" s="86"/>
      <c r="Y185" s="59">
        <f ca="1">Table24[[#This Row],[End Date]]+2-TODAY()</f>
        <v>-45816</v>
      </c>
      <c r="Z185" s="14">
        <f>IF(ISBLANK(Table24[[#This Row],[Roster Received By]]),1,0)</f>
        <v>1</v>
      </c>
      <c r="AA185" s="14">
        <f ca="1">IF(Table24[[#This Row],[Start Date]]&gt;TODAY(),1,)</f>
        <v>0</v>
      </c>
    </row>
    <row r="186" spans="1:27" s="52" customFormat="1" x14ac:dyDescent="0.25">
      <c r="B186" s="86"/>
      <c r="C186" s="87"/>
      <c r="D186" s="87"/>
      <c r="E186" s="86"/>
      <c r="F186" s="89"/>
      <c r="G186" s="89"/>
      <c r="H186" s="89"/>
      <c r="I186" s="88"/>
      <c r="J186" s="88"/>
      <c r="K186" s="88"/>
      <c r="L186" s="88"/>
      <c r="M186" s="88"/>
      <c r="N186" s="88"/>
      <c r="O186" s="86"/>
      <c r="P186" s="86"/>
      <c r="Q186" s="14" t="e">
        <v>#N/A</v>
      </c>
      <c r="R186" s="14" t="e">
        <v>#N/A</v>
      </c>
      <c r="S186" s="14"/>
      <c r="T186" s="90"/>
      <c r="U186" s="14"/>
      <c r="V186" s="14"/>
      <c r="W186" s="94"/>
      <c r="X186" s="86"/>
      <c r="Y186" s="59">
        <f ca="1">Table24[[#This Row],[End Date]]+2-TODAY()</f>
        <v>-45816</v>
      </c>
      <c r="Z186" s="14">
        <f>IF(ISBLANK(Table24[[#This Row],[Roster Received By]]),1,0)</f>
        <v>1</v>
      </c>
      <c r="AA186" s="14">
        <f ca="1">IF(Table24[[#This Row],[Start Date]]&gt;TODAY(),1,)</f>
        <v>0</v>
      </c>
    </row>
    <row r="187" spans="1:27" s="52" customFormat="1" x14ac:dyDescent="0.25">
      <c r="B187" s="86"/>
      <c r="C187" s="87"/>
      <c r="D187" s="87"/>
      <c r="E187" s="86"/>
      <c r="F187" s="89"/>
      <c r="G187" s="89"/>
      <c r="H187" s="89"/>
      <c r="I187" s="88"/>
      <c r="J187" s="88"/>
      <c r="K187" s="88"/>
      <c r="L187" s="88"/>
      <c r="M187" s="88"/>
      <c r="N187" s="88"/>
      <c r="O187" s="86"/>
      <c r="P187" s="86"/>
      <c r="Q187" s="14" t="e">
        <v>#N/A</v>
      </c>
      <c r="R187" s="14" t="e">
        <v>#N/A</v>
      </c>
      <c r="S187" s="14"/>
      <c r="T187" s="90"/>
      <c r="U187" s="14"/>
      <c r="V187" s="14"/>
      <c r="W187" s="90"/>
      <c r="X187" s="86"/>
      <c r="Y187" s="59">
        <f ca="1">Table24[[#This Row],[End Date]]+2-TODAY()</f>
        <v>-45816</v>
      </c>
      <c r="Z187" s="14">
        <f>IF(ISBLANK(Table24[[#This Row],[Roster Received By]]),1,0)</f>
        <v>1</v>
      </c>
      <c r="AA187" s="14">
        <f ca="1">IF(Table24[[#This Row],[Start Date]]&gt;TODAY(),1,)</f>
        <v>0</v>
      </c>
    </row>
    <row r="188" spans="1:27" s="52" customFormat="1" x14ac:dyDescent="0.25">
      <c r="A188" s="54"/>
      <c r="B188" s="86"/>
      <c r="C188" s="87"/>
      <c r="D188" s="87"/>
      <c r="E188" s="86"/>
      <c r="F188" s="89"/>
      <c r="G188" s="89"/>
      <c r="H188" s="95"/>
      <c r="I188" s="95"/>
      <c r="J188" s="89"/>
      <c r="K188" s="89"/>
      <c r="L188" s="89"/>
      <c r="M188" s="89"/>
      <c r="N188" s="89"/>
      <c r="O188" s="86"/>
      <c r="P188" s="86"/>
      <c r="Q188" s="14" t="e">
        <v>#N/A</v>
      </c>
      <c r="R188" s="14" t="e">
        <v>#N/A</v>
      </c>
      <c r="S188" s="14"/>
      <c r="T188" s="90"/>
      <c r="U188" s="14"/>
      <c r="V188" s="14"/>
      <c r="W188" s="14"/>
      <c r="X188" s="86"/>
      <c r="Y188" s="59">
        <f ca="1">Table24[[#This Row],[End Date]]+2-TODAY()</f>
        <v>-45816</v>
      </c>
      <c r="Z188" s="14">
        <f>IF(ISBLANK(Table24[[#This Row],[Roster Received By]]),1,0)</f>
        <v>1</v>
      </c>
      <c r="AA188" s="14">
        <f ca="1">IF(Table24[[#This Row],[Start Date]]&gt;TODAY(),1,)</f>
        <v>0</v>
      </c>
    </row>
    <row r="189" spans="1:27" s="52" customFormat="1" x14ac:dyDescent="0.25">
      <c r="B189" s="86"/>
      <c r="C189" s="87"/>
      <c r="D189" s="87"/>
      <c r="E189" s="86"/>
      <c r="F189" s="89"/>
      <c r="G189" s="89"/>
      <c r="H189" s="92"/>
      <c r="I189" s="95"/>
      <c r="J189" s="89"/>
      <c r="K189" s="89"/>
      <c r="L189" s="89"/>
      <c r="M189" s="89"/>
      <c r="N189" s="89"/>
      <c r="O189" s="86"/>
      <c r="P189" s="86"/>
      <c r="Q189" s="14" t="e">
        <v>#N/A</v>
      </c>
      <c r="R189" s="14" t="e">
        <v>#N/A</v>
      </c>
      <c r="S189" s="90"/>
      <c r="T189" s="90"/>
      <c r="U189" s="14"/>
      <c r="V189" s="14"/>
      <c r="W189" s="14"/>
      <c r="X189" s="86"/>
      <c r="Y189" s="59">
        <f ca="1">Table24[[#This Row],[End Date]]+2-TODAY()</f>
        <v>-45816</v>
      </c>
      <c r="Z189" s="14">
        <f>IF(ISBLANK(Table24[[#This Row],[Roster Received By]]),1,0)</f>
        <v>1</v>
      </c>
      <c r="AA189" s="14">
        <f ca="1">IF(Table24[[#This Row],[Start Date]]&gt;TODAY(),1,)</f>
        <v>0</v>
      </c>
    </row>
    <row r="190" spans="1:27" s="52" customFormat="1" x14ac:dyDescent="0.25">
      <c r="B190" s="86"/>
      <c r="C190" s="87"/>
      <c r="D190" s="87"/>
      <c r="E190" s="111"/>
      <c r="F190" s="56"/>
      <c r="G190" s="56"/>
      <c r="H190" s="88"/>
      <c r="I190" s="88"/>
      <c r="J190" s="88"/>
      <c r="K190" s="88"/>
      <c r="L190" s="88"/>
      <c r="M190" s="88"/>
      <c r="N190" s="88"/>
      <c r="O190" s="86"/>
      <c r="P190" s="86"/>
      <c r="Q190" s="14" t="e">
        <v>#N/A</v>
      </c>
      <c r="R190" s="14" t="e">
        <v>#N/A</v>
      </c>
      <c r="S190" s="14"/>
      <c r="T190" s="90"/>
      <c r="U190" s="14"/>
      <c r="V190" s="14"/>
      <c r="W190" s="14"/>
      <c r="X190" s="86"/>
      <c r="Y190" s="59">
        <f ca="1">Table24[[#This Row],[End Date]]+2-TODAY()</f>
        <v>-45816</v>
      </c>
      <c r="Z190" s="14">
        <f>IF(ISBLANK(Table24[[#This Row],[Roster Received By]]),1,0)</f>
        <v>1</v>
      </c>
      <c r="AA190" s="14">
        <f ca="1">IF(Table24[[#This Row],[Start Date]]&gt;TODAY(),1,)</f>
        <v>0</v>
      </c>
    </row>
    <row r="191" spans="1:27" s="52" customFormat="1" x14ac:dyDescent="0.25">
      <c r="A191" s="86"/>
      <c r="B191" s="86"/>
      <c r="C191" s="87"/>
      <c r="D191" s="87"/>
      <c r="E191" s="86"/>
      <c r="F191" s="89"/>
      <c r="G191" s="89"/>
      <c r="H191" s="92"/>
      <c r="I191" s="92"/>
      <c r="J191" s="89"/>
      <c r="K191" s="89"/>
      <c r="L191" s="89"/>
      <c r="M191" s="89"/>
      <c r="N191" s="89"/>
      <c r="O191" s="86"/>
      <c r="P191" s="86"/>
      <c r="Q191" s="14" t="e">
        <v>#N/A</v>
      </c>
      <c r="R191" s="14" t="e">
        <v>#N/A</v>
      </c>
      <c r="S191" s="14"/>
      <c r="T191" s="90"/>
      <c r="U191" s="14"/>
      <c r="V191" s="14"/>
      <c r="W191" s="14"/>
      <c r="X191" s="86"/>
      <c r="Y191" s="59">
        <f ca="1">Table24[[#This Row],[End Date]]+2-TODAY()</f>
        <v>-45816</v>
      </c>
      <c r="Z191" s="14">
        <f>IF(ISBLANK(Table24[[#This Row],[Roster Received By]]),1,0)</f>
        <v>1</v>
      </c>
      <c r="AA191" s="14">
        <f ca="1">IF(Table24[[#This Row],[Start Date]]&gt;TODAY(),1,)</f>
        <v>0</v>
      </c>
    </row>
    <row r="192" spans="1:27" s="52" customFormat="1" x14ac:dyDescent="0.25">
      <c r="A192" s="87"/>
      <c r="B192" s="86"/>
      <c r="C192" s="87"/>
      <c r="D192" s="87"/>
      <c r="E192" s="86"/>
      <c r="F192" s="89"/>
      <c r="G192" s="89"/>
      <c r="H192" s="92"/>
      <c r="I192" s="92"/>
      <c r="J192" s="89"/>
      <c r="K192" s="89"/>
      <c r="L192" s="89"/>
      <c r="M192" s="89"/>
      <c r="N192" s="89"/>
      <c r="O192" s="86"/>
      <c r="P192" s="86"/>
      <c r="Q192" s="14" t="e">
        <v>#N/A</v>
      </c>
      <c r="R192" s="14" t="e">
        <v>#N/A</v>
      </c>
      <c r="S192" s="94"/>
      <c r="T192" s="90"/>
      <c r="U192" s="14"/>
      <c r="V192" s="14"/>
      <c r="W192" s="14"/>
      <c r="X192" s="86"/>
      <c r="Y192" s="59">
        <f ca="1">Table24[[#This Row],[End Date]]+2-TODAY()</f>
        <v>-45816</v>
      </c>
      <c r="Z192" s="14">
        <f>IF(ISBLANK(Table24[[#This Row],[Roster Received By]]),1,0)</f>
        <v>1</v>
      </c>
      <c r="AA192" s="14">
        <f ca="1">IF(Table24[[#This Row],[Start Date]]&gt;TODAY(),1,)</f>
        <v>0</v>
      </c>
    </row>
    <row r="193" spans="1:27" s="52" customFormat="1" x14ac:dyDescent="0.25">
      <c r="B193" s="86"/>
      <c r="C193" s="87"/>
      <c r="D193" s="87"/>
      <c r="E193" s="86"/>
      <c r="F193" s="89"/>
      <c r="G193" s="89"/>
      <c r="H193" s="92"/>
      <c r="I193" s="92"/>
      <c r="J193" s="89"/>
      <c r="K193" s="89"/>
      <c r="L193" s="89"/>
      <c r="M193" s="89"/>
      <c r="N193" s="89"/>
      <c r="O193" s="86"/>
      <c r="P193" s="86"/>
      <c r="Q193" s="14" t="e">
        <v>#N/A</v>
      </c>
      <c r="R193" s="14" t="e">
        <v>#N/A</v>
      </c>
      <c r="S193" s="14"/>
      <c r="T193" s="90"/>
      <c r="U193" s="14"/>
      <c r="V193" s="14"/>
      <c r="W193" s="14"/>
      <c r="X193" s="86"/>
      <c r="Y193" s="59">
        <f ca="1">Table24[[#This Row],[End Date]]+2-TODAY()</f>
        <v>-45816</v>
      </c>
      <c r="Z193" s="14">
        <f>IF(ISBLANK(Table24[[#This Row],[Roster Received By]]),1,0)</f>
        <v>1</v>
      </c>
      <c r="AA193" s="14">
        <f ca="1">IF(Table24[[#This Row],[Start Date]]&gt;TODAY(),1,)</f>
        <v>0</v>
      </c>
    </row>
    <row r="194" spans="1:27" s="52" customFormat="1" x14ac:dyDescent="0.25">
      <c r="B194" s="86"/>
      <c r="C194" s="87"/>
      <c r="D194" s="87"/>
      <c r="E194" s="86"/>
      <c r="F194" s="89"/>
      <c r="G194" s="89"/>
      <c r="H194" s="89"/>
      <c r="I194" s="88"/>
      <c r="J194" s="88"/>
      <c r="K194" s="88"/>
      <c r="L194" s="88"/>
      <c r="M194" s="88"/>
      <c r="N194" s="88"/>
      <c r="O194" s="86"/>
      <c r="P194" s="86"/>
      <c r="Q194" s="14" t="e">
        <v>#N/A</v>
      </c>
      <c r="R194" s="14" t="e">
        <v>#N/A</v>
      </c>
      <c r="S194" s="14"/>
      <c r="T194" s="90"/>
      <c r="U194" s="14"/>
      <c r="V194" s="14"/>
      <c r="W194" s="14"/>
      <c r="X194" s="86"/>
      <c r="Y194" s="59">
        <f ca="1">Table24[[#This Row],[End Date]]+2-TODAY()</f>
        <v>-45816</v>
      </c>
      <c r="Z194" s="14">
        <f>IF(ISBLANK(Table24[[#This Row],[Roster Received By]]),1,0)</f>
        <v>1</v>
      </c>
      <c r="AA194" s="14">
        <f ca="1">IF(Table24[[#This Row],[Start Date]]&gt;TODAY(),1,)</f>
        <v>0</v>
      </c>
    </row>
    <row r="195" spans="1:27" s="52" customFormat="1" x14ac:dyDescent="0.25">
      <c r="B195" s="54"/>
      <c r="C195" s="87"/>
      <c r="D195" s="87"/>
      <c r="E195" s="54"/>
      <c r="F195" s="56"/>
      <c r="G195" s="56"/>
      <c r="H195" s="88"/>
      <c r="I195" s="88"/>
      <c r="J195" s="89"/>
      <c r="K195" s="89"/>
      <c r="L195" s="89"/>
      <c r="M195" s="89"/>
      <c r="N195" s="89"/>
      <c r="O195" s="86"/>
      <c r="P195" s="86"/>
      <c r="Q195" s="14" t="e">
        <v>#N/A</v>
      </c>
      <c r="R195" s="14" t="e">
        <v>#N/A</v>
      </c>
      <c r="S195" s="14"/>
      <c r="T195" s="90"/>
      <c r="U195" s="14"/>
      <c r="V195" s="14"/>
      <c r="W195" s="14"/>
      <c r="X195" s="86"/>
      <c r="Y195" s="59">
        <f ca="1">Table24[[#This Row],[End Date]]+2-TODAY()</f>
        <v>-45816</v>
      </c>
      <c r="Z195" s="14">
        <f>IF(ISBLANK(Table24[[#This Row],[Roster Received By]]),1,0)</f>
        <v>1</v>
      </c>
      <c r="AA195" s="14">
        <f ca="1">IF(Table24[[#This Row],[Start Date]]&gt;TODAY(),1,)</f>
        <v>0</v>
      </c>
    </row>
    <row r="196" spans="1:27" s="52" customFormat="1" x14ac:dyDescent="0.25">
      <c r="B196" s="86"/>
      <c r="C196" s="87"/>
      <c r="D196" s="87"/>
      <c r="E196" s="86"/>
      <c r="F196" s="89"/>
      <c r="G196" s="89"/>
      <c r="H196" s="89"/>
      <c r="I196" s="88"/>
      <c r="J196" s="88"/>
      <c r="K196" s="88"/>
      <c r="L196" s="88"/>
      <c r="M196" s="88"/>
      <c r="N196" s="88"/>
      <c r="O196" s="86"/>
      <c r="P196" s="86"/>
      <c r="Q196" s="14" t="e">
        <v>#N/A</v>
      </c>
      <c r="R196" s="14" t="e">
        <v>#N/A</v>
      </c>
      <c r="S196" s="14"/>
      <c r="T196" s="90"/>
      <c r="U196" s="14"/>
      <c r="V196" s="14"/>
      <c r="W196" s="14"/>
      <c r="X196" s="86"/>
      <c r="Y196" s="59">
        <f ca="1">Table24[[#This Row],[End Date]]+2-TODAY()</f>
        <v>-45816</v>
      </c>
      <c r="Z196" s="14">
        <f>IF(ISBLANK(Table24[[#This Row],[Roster Received By]]),1,0)</f>
        <v>1</v>
      </c>
      <c r="AA196" s="14">
        <f ca="1">IF(Table24[[#This Row],[Start Date]]&gt;TODAY(),1,)</f>
        <v>0</v>
      </c>
    </row>
    <row r="197" spans="1:27" s="52" customFormat="1" x14ac:dyDescent="0.25">
      <c r="B197" s="86"/>
      <c r="C197" s="87"/>
      <c r="D197" s="87"/>
      <c r="E197" s="86"/>
      <c r="F197" s="89"/>
      <c r="G197" s="89"/>
      <c r="H197" s="89"/>
      <c r="I197" s="88"/>
      <c r="J197" s="88"/>
      <c r="K197" s="88"/>
      <c r="L197" s="88"/>
      <c r="M197" s="88"/>
      <c r="N197" s="88"/>
      <c r="O197" s="86"/>
      <c r="P197" s="86"/>
      <c r="Q197" s="14" t="e">
        <v>#N/A</v>
      </c>
      <c r="R197" s="14" t="e">
        <v>#N/A</v>
      </c>
      <c r="S197" s="14"/>
      <c r="T197" s="90"/>
      <c r="U197" s="14"/>
      <c r="V197" s="14"/>
      <c r="W197" s="14"/>
      <c r="X197" s="86"/>
      <c r="Y197" s="59">
        <f ca="1">Table24[[#This Row],[End Date]]+2-TODAY()</f>
        <v>-45816</v>
      </c>
      <c r="Z197" s="14">
        <f>IF(ISBLANK(Table24[[#This Row],[Roster Received By]]),1,0)</f>
        <v>1</v>
      </c>
      <c r="AA197" s="14">
        <f ca="1">IF(Table24[[#This Row],[Start Date]]&gt;TODAY(),1,)</f>
        <v>0</v>
      </c>
    </row>
    <row r="198" spans="1:27" s="52" customFormat="1" x14ac:dyDescent="0.25">
      <c r="B198" s="86"/>
      <c r="C198" s="87"/>
      <c r="D198" s="87"/>
      <c r="E198" s="86"/>
      <c r="F198" s="89"/>
      <c r="G198" s="89"/>
      <c r="H198" s="89"/>
      <c r="I198" s="88"/>
      <c r="J198" s="88"/>
      <c r="K198" s="88"/>
      <c r="L198" s="88"/>
      <c r="M198" s="88"/>
      <c r="N198" s="88"/>
      <c r="O198" s="86"/>
      <c r="P198" s="86"/>
      <c r="Q198" s="14" t="e">
        <v>#N/A</v>
      </c>
      <c r="R198" s="14" t="e">
        <v>#N/A</v>
      </c>
      <c r="S198" s="14"/>
      <c r="T198" s="90"/>
      <c r="U198" s="14"/>
      <c r="V198" s="14"/>
      <c r="W198" s="14"/>
      <c r="X198" s="86"/>
      <c r="Y198" s="59">
        <f ca="1">Table24[[#This Row],[End Date]]+2-TODAY()</f>
        <v>-45816</v>
      </c>
      <c r="Z198" s="14">
        <f>IF(ISBLANK(Table24[[#This Row],[Roster Received By]]),1,0)</f>
        <v>1</v>
      </c>
      <c r="AA198" s="14">
        <f ca="1">IF(Table24[[#This Row],[Start Date]]&gt;TODAY(),1,)</f>
        <v>0</v>
      </c>
    </row>
    <row r="199" spans="1:27" s="52" customFormat="1" x14ac:dyDescent="0.25">
      <c r="A199" s="86"/>
      <c r="B199" s="86"/>
      <c r="C199" s="87"/>
      <c r="D199" s="87"/>
      <c r="E199" s="54"/>
      <c r="F199" s="89"/>
      <c r="G199" s="89"/>
      <c r="H199" s="92"/>
      <c r="I199" s="92"/>
      <c r="J199" s="89"/>
      <c r="K199" s="89"/>
      <c r="L199" s="89"/>
      <c r="M199" s="89"/>
      <c r="N199" s="89"/>
      <c r="O199" s="86"/>
      <c r="P199" s="86"/>
      <c r="Q199" s="14" t="e">
        <v>#N/A</v>
      </c>
      <c r="R199" s="14" t="e">
        <v>#N/A</v>
      </c>
      <c r="S199" s="14"/>
      <c r="T199" s="90"/>
      <c r="U199" s="14"/>
      <c r="V199" s="14"/>
      <c r="W199" s="14"/>
      <c r="X199" s="86"/>
      <c r="Y199" s="59">
        <f ca="1">Table24[[#This Row],[End Date]]+2-TODAY()</f>
        <v>-45816</v>
      </c>
      <c r="Z199" s="14">
        <f>IF(ISBLANK(Table24[[#This Row],[Roster Received By]]),1,0)</f>
        <v>1</v>
      </c>
      <c r="AA199" s="14">
        <f ca="1">IF(Table24[[#This Row],[Start Date]]&gt;TODAY(),1,)</f>
        <v>0</v>
      </c>
    </row>
    <row r="200" spans="1:27" s="52" customFormat="1" x14ac:dyDescent="0.25">
      <c r="B200" s="86"/>
      <c r="C200" s="87"/>
      <c r="D200" s="87"/>
      <c r="E200" s="86"/>
      <c r="F200" s="97"/>
      <c r="G200" s="97"/>
      <c r="H200" s="89"/>
      <c r="I200" s="88"/>
      <c r="J200" s="88"/>
      <c r="K200" s="88"/>
      <c r="L200" s="88"/>
      <c r="M200" s="88"/>
      <c r="N200" s="88"/>
      <c r="O200" s="86"/>
      <c r="P200" s="86"/>
      <c r="Q200" s="14" t="e">
        <v>#N/A</v>
      </c>
      <c r="R200" s="14" t="e">
        <v>#N/A</v>
      </c>
      <c r="S200" s="14"/>
      <c r="T200" s="90"/>
      <c r="U200" s="14"/>
      <c r="V200" s="14"/>
      <c r="W200" s="14"/>
      <c r="X200" s="86"/>
      <c r="Y200" s="59">
        <f ca="1">Table24[[#This Row],[End Date]]+2-TODAY()</f>
        <v>-45816</v>
      </c>
      <c r="Z200" s="14">
        <f>IF(ISBLANK(Table24[[#This Row],[Roster Received By]]),1,0)</f>
        <v>1</v>
      </c>
      <c r="AA200" s="14">
        <f ca="1">IF(Table24[[#This Row],[Start Date]]&gt;TODAY(),1,)</f>
        <v>0</v>
      </c>
    </row>
    <row r="201" spans="1:27" s="52" customFormat="1" x14ac:dyDescent="0.25">
      <c r="B201" s="86"/>
      <c r="C201" s="87"/>
      <c r="D201" s="87"/>
      <c r="E201" s="54"/>
      <c r="F201" s="56"/>
      <c r="G201" s="56"/>
      <c r="H201" s="88"/>
      <c r="I201" s="88"/>
      <c r="J201" s="89"/>
      <c r="K201" s="89"/>
      <c r="L201" s="89"/>
      <c r="M201" s="89"/>
      <c r="N201" s="89"/>
      <c r="O201" s="86"/>
      <c r="P201" s="86"/>
      <c r="Q201" s="14" t="e">
        <v>#N/A</v>
      </c>
      <c r="R201" s="14" t="e">
        <v>#N/A</v>
      </c>
      <c r="S201" s="14"/>
      <c r="T201" s="90"/>
      <c r="U201" s="14"/>
      <c r="V201" s="14"/>
      <c r="W201" s="14"/>
      <c r="X201" s="86"/>
      <c r="Y201" s="59">
        <f ca="1">Table24[[#This Row],[End Date]]+2-TODAY()</f>
        <v>-45816</v>
      </c>
      <c r="Z201" s="14">
        <f>IF(ISBLANK(Table24[[#This Row],[Roster Received By]]),1,0)</f>
        <v>1</v>
      </c>
      <c r="AA201" s="14">
        <f ca="1">IF(Table24[[#This Row],[Start Date]]&gt;TODAY(),1,)</f>
        <v>0</v>
      </c>
    </row>
    <row r="202" spans="1:27" s="52" customFormat="1" x14ac:dyDescent="0.25">
      <c r="B202" s="86"/>
      <c r="C202" s="87"/>
      <c r="D202" s="87"/>
      <c r="E202" s="86"/>
      <c r="F202" s="56"/>
      <c r="G202" s="89"/>
      <c r="H202" s="89"/>
      <c r="I202" s="88"/>
      <c r="J202" s="88"/>
      <c r="K202" s="88"/>
      <c r="L202" s="88"/>
      <c r="M202" s="88"/>
      <c r="N202" s="88"/>
      <c r="O202" s="86"/>
      <c r="P202" s="86"/>
      <c r="Q202" s="14" t="e">
        <v>#N/A</v>
      </c>
      <c r="R202" s="14" t="e">
        <v>#N/A</v>
      </c>
      <c r="S202" s="14"/>
      <c r="T202" s="90"/>
      <c r="U202" s="14"/>
      <c r="V202" s="14"/>
      <c r="W202" s="14"/>
      <c r="X202" s="86"/>
      <c r="Y202" s="59">
        <f ca="1">Table24[[#This Row],[End Date]]+2-TODAY()</f>
        <v>-45816</v>
      </c>
      <c r="Z202" s="14">
        <f>IF(ISBLANK(Table24[[#This Row],[Roster Received By]]),1,0)</f>
        <v>1</v>
      </c>
      <c r="AA202" s="14">
        <f ca="1">IF(Table24[[#This Row],[Start Date]]&gt;TODAY(),1,)</f>
        <v>0</v>
      </c>
    </row>
    <row r="203" spans="1:27" s="52" customFormat="1" x14ac:dyDescent="0.25">
      <c r="B203" s="86"/>
      <c r="C203" s="87"/>
      <c r="D203" s="87"/>
      <c r="E203" s="86"/>
      <c r="F203" s="89"/>
      <c r="G203" s="89"/>
      <c r="H203" s="92"/>
      <c r="I203" s="92"/>
      <c r="J203" s="89"/>
      <c r="K203" s="89"/>
      <c r="L203" s="89"/>
      <c r="M203" s="89"/>
      <c r="N203" s="89"/>
      <c r="O203" s="86"/>
      <c r="P203" s="86"/>
      <c r="Q203" s="14" t="e">
        <v>#N/A</v>
      </c>
      <c r="R203" s="14" t="e">
        <v>#N/A</v>
      </c>
      <c r="S203" s="14"/>
      <c r="T203" s="90"/>
      <c r="U203" s="14"/>
      <c r="V203" s="14"/>
      <c r="W203" s="14"/>
      <c r="X203" s="86"/>
      <c r="Y203" s="59">
        <f ca="1">Table24[[#This Row],[End Date]]+2-TODAY()</f>
        <v>-45816</v>
      </c>
      <c r="Z203" s="14">
        <f>IF(ISBLANK(Table24[[#This Row],[Roster Received By]]),1,0)</f>
        <v>1</v>
      </c>
      <c r="AA203" s="14">
        <f ca="1">IF(Table24[[#This Row],[Start Date]]&gt;TODAY(),1,)</f>
        <v>0</v>
      </c>
    </row>
    <row r="204" spans="1:27" s="52" customFormat="1" x14ac:dyDescent="0.25">
      <c r="B204" s="86"/>
      <c r="C204" s="87"/>
      <c r="D204" s="87"/>
      <c r="E204" s="54"/>
      <c r="F204" s="56"/>
      <c r="G204" s="89"/>
      <c r="H204" s="92"/>
      <c r="I204" s="92"/>
      <c r="J204" s="89"/>
      <c r="K204" s="89"/>
      <c r="L204" s="89"/>
      <c r="M204" s="89"/>
      <c r="N204" s="89"/>
      <c r="O204" s="86"/>
      <c r="P204" s="86"/>
      <c r="Q204" s="14" t="e">
        <v>#N/A</v>
      </c>
      <c r="R204" s="14" t="e">
        <v>#N/A</v>
      </c>
      <c r="S204" s="14"/>
      <c r="T204" s="90"/>
      <c r="U204" s="14"/>
      <c r="V204" s="14"/>
      <c r="W204" s="14"/>
      <c r="X204" s="86"/>
      <c r="Y204" s="59">
        <f ca="1">Table24[[#This Row],[End Date]]+2-TODAY()</f>
        <v>-45816</v>
      </c>
      <c r="Z204" s="14">
        <f>IF(ISBLANK(Table24[[#This Row],[Roster Received By]]),1,0)</f>
        <v>1</v>
      </c>
      <c r="AA204" s="14">
        <f ca="1">IF(Table24[[#This Row],[Start Date]]&gt;TODAY(),1,)</f>
        <v>0</v>
      </c>
    </row>
    <row r="205" spans="1:27" s="52" customFormat="1" x14ac:dyDescent="0.25">
      <c r="B205" s="86"/>
      <c r="C205" s="87"/>
      <c r="D205" s="87"/>
      <c r="E205" s="86"/>
      <c r="F205" s="56"/>
      <c r="G205" s="56"/>
      <c r="H205" s="56"/>
      <c r="I205" s="88"/>
      <c r="J205" s="88"/>
      <c r="K205" s="88"/>
      <c r="L205" s="88"/>
      <c r="M205" s="88"/>
      <c r="N205" s="88"/>
      <c r="O205" s="86"/>
      <c r="P205" s="86"/>
      <c r="Q205" s="14" t="e">
        <v>#N/A</v>
      </c>
      <c r="R205" s="14" t="e">
        <v>#N/A</v>
      </c>
      <c r="S205" s="14"/>
      <c r="T205" s="90"/>
      <c r="U205" s="14"/>
      <c r="V205" s="14"/>
      <c r="W205" s="14"/>
      <c r="X205" s="86"/>
      <c r="Y205" s="59">
        <f ca="1">Table24[[#This Row],[End Date]]+2-TODAY()</f>
        <v>-45816</v>
      </c>
      <c r="Z205" s="14">
        <f>IF(ISBLANK(Table24[[#This Row],[Roster Received By]]),1,0)</f>
        <v>1</v>
      </c>
      <c r="AA205" s="14">
        <f ca="1">IF(Table24[[#This Row],[Start Date]]&gt;TODAY(),1,)</f>
        <v>0</v>
      </c>
    </row>
    <row r="206" spans="1:27" s="52" customFormat="1" x14ac:dyDescent="0.25">
      <c r="B206" s="86"/>
      <c r="C206" s="87"/>
      <c r="D206" s="87"/>
      <c r="E206" s="86"/>
      <c r="F206" s="89"/>
      <c r="G206" s="89"/>
      <c r="H206" s="92"/>
      <c r="I206" s="92"/>
      <c r="J206" s="92"/>
      <c r="K206" s="92"/>
      <c r="L206" s="92"/>
      <c r="M206" s="92"/>
      <c r="N206" s="92"/>
      <c r="O206" s="86"/>
      <c r="P206" s="86"/>
      <c r="Q206" s="14" t="e">
        <v>#N/A</v>
      </c>
      <c r="R206" s="14" t="e">
        <v>#N/A</v>
      </c>
      <c r="S206" s="14"/>
      <c r="T206" s="90"/>
      <c r="U206" s="14"/>
      <c r="V206" s="14"/>
      <c r="W206" s="14"/>
      <c r="X206" s="86"/>
      <c r="Y206" s="59">
        <f ca="1">Table24[[#This Row],[End Date]]+2-TODAY()</f>
        <v>-45816</v>
      </c>
      <c r="Z206" s="14">
        <f>IF(ISBLANK(Table24[[#This Row],[Roster Received By]]),1,0)</f>
        <v>1</v>
      </c>
      <c r="AA206" s="14">
        <f ca="1">IF(Table24[[#This Row],[Start Date]]&gt;TODAY(),1,)</f>
        <v>0</v>
      </c>
    </row>
    <row r="207" spans="1:27" s="52" customFormat="1" x14ac:dyDescent="0.25">
      <c r="B207" s="86"/>
      <c r="C207" s="87"/>
      <c r="D207" s="87"/>
      <c r="E207" s="86"/>
      <c r="F207" s="89"/>
      <c r="G207" s="89"/>
      <c r="H207" s="92"/>
      <c r="I207" s="92"/>
      <c r="J207" s="89"/>
      <c r="K207" s="89"/>
      <c r="L207" s="89"/>
      <c r="M207" s="89"/>
      <c r="N207" s="89"/>
      <c r="O207" s="86"/>
      <c r="P207" s="86"/>
      <c r="Q207" s="14" t="e">
        <v>#N/A</v>
      </c>
      <c r="R207" s="14" t="e">
        <v>#N/A</v>
      </c>
      <c r="S207" s="14"/>
      <c r="T207" s="90"/>
      <c r="U207" s="14"/>
      <c r="V207" s="14"/>
      <c r="W207" s="14"/>
      <c r="X207" s="86"/>
      <c r="Y207" s="59">
        <f ca="1">Table24[[#This Row],[End Date]]+2-TODAY()</f>
        <v>-45816</v>
      </c>
      <c r="Z207" s="14">
        <f>IF(ISBLANK(Table24[[#This Row],[Roster Received By]]),1,0)</f>
        <v>1</v>
      </c>
      <c r="AA207" s="14">
        <f ca="1">IF(Table24[[#This Row],[Start Date]]&gt;TODAY(),1,)</f>
        <v>0</v>
      </c>
    </row>
    <row r="208" spans="1:27" s="52" customFormat="1" x14ac:dyDescent="0.25">
      <c r="B208" s="86"/>
      <c r="C208" s="87"/>
      <c r="D208" s="87"/>
      <c r="E208" s="54"/>
      <c r="F208" s="89"/>
      <c r="G208" s="89"/>
      <c r="H208" s="92"/>
      <c r="I208" s="92"/>
      <c r="J208" s="89"/>
      <c r="K208" s="89"/>
      <c r="L208" s="89"/>
      <c r="M208" s="89"/>
      <c r="N208" s="89"/>
      <c r="O208" s="86"/>
      <c r="P208" s="86"/>
      <c r="Q208" s="14" t="e">
        <v>#N/A</v>
      </c>
      <c r="R208" s="14" t="e">
        <v>#N/A</v>
      </c>
      <c r="S208" s="14"/>
      <c r="T208" s="90"/>
      <c r="U208" s="14"/>
      <c r="V208" s="14"/>
      <c r="W208" s="87"/>
      <c r="X208" s="86"/>
      <c r="Y208" s="59">
        <f ca="1">Table24[[#This Row],[End Date]]+2-TODAY()</f>
        <v>-45816</v>
      </c>
      <c r="Z208" s="14">
        <f>IF(ISBLANK(Table24[[#This Row],[Roster Received By]]),1,0)</f>
        <v>1</v>
      </c>
      <c r="AA208" s="14">
        <f ca="1">IF(Table24[[#This Row],[Start Date]]&gt;TODAY(),1,)</f>
        <v>0</v>
      </c>
    </row>
    <row r="209" spans="2:27" s="52" customFormat="1" x14ac:dyDescent="0.25">
      <c r="B209" s="86"/>
      <c r="C209" s="87"/>
      <c r="D209" s="87"/>
      <c r="E209" s="54"/>
      <c r="F209" s="89"/>
      <c r="G209" s="89"/>
      <c r="H209" s="92"/>
      <c r="I209" s="92"/>
      <c r="J209" s="89"/>
      <c r="K209" s="89"/>
      <c r="L209" s="89"/>
      <c r="M209" s="89"/>
      <c r="N209" s="89"/>
      <c r="O209" s="86"/>
      <c r="P209" s="86"/>
      <c r="Q209" s="14" t="e">
        <v>#N/A</v>
      </c>
      <c r="R209" s="14" t="e">
        <v>#N/A</v>
      </c>
      <c r="S209" s="14"/>
      <c r="T209" s="90"/>
      <c r="U209" s="14"/>
      <c r="V209" s="14"/>
      <c r="W209" s="14"/>
      <c r="X209" s="86"/>
      <c r="Y209" s="59">
        <f ca="1">Table24[[#This Row],[End Date]]+2-TODAY()</f>
        <v>-45816</v>
      </c>
      <c r="Z209" s="14">
        <f>IF(ISBLANK(Table24[[#This Row],[Roster Received By]]),1,0)</f>
        <v>1</v>
      </c>
      <c r="AA209" s="14">
        <f ca="1">IF(Table24[[#This Row],[Start Date]]&gt;TODAY(),1,)</f>
        <v>0</v>
      </c>
    </row>
    <row r="210" spans="2:27" s="52" customFormat="1" x14ac:dyDescent="0.25">
      <c r="B210" s="86"/>
      <c r="C210" s="87" t="e">
        <v>#N/A</v>
      </c>
      <c r="D210" s="87" t="e">
        <v>#N/A</v>
      </c>
      <c r="E210" s="54"/>
      <c r="F210" s="89"/>
      <c r="G210" s="89"/>
      <c r="H210" s="92"/>
      <c r="I210" s="92"/>
      <c r="J210" s="89"/>
      <c r="K210" s="89"/>
      <c r="L210" s="89"/>
      <c r="M210" s="89"/>
      <c r="N210" s="89"/>
      <c r="O210" s="86"/>
      <c r="P210" s="86"/>
      <c r="Q210" s="14" t="e">
        <v>#N/A</v>
      </c>
      <c r="R210" s="14" t="e">
        <v>#N/A</v>
      </c>
      <c r="S210" s="14"/>
      <c r="T210" s="90"/>
      <c r="U210" s="14"/>
      <c r="V210" s="14"/>
      <c r="W210" s="14"/>
      <c r="X210" s="86"/>
      <c r="Y210" s="59">
        <f ca="1">Table24[[#This Row],[End Date]]+2-TODAY()</f>
        <v>-45816</v>
      </c>
      <c r="Z210" s="14">
        <f>IF(ISBLANK(Table24[[#This Row],[Roster Received By]]),1,0)</f>
        <v>1</v>
      </c>
      <c r="AA210" s="14">
        <f ca="1">IF(Table24[[#This Row],[Start Date]]&gt;TODAY(),1,)</f>
        <v>0</v>
      </c>
    </row>
    <row r="211" spans="2:27" s="52" customFormat="1" x14ac:dyDescent="0.25">
      <c r="B211" s="86"/>
      <c r="C211" s="87" t="e">
        <v>#N/A</v>
      </c>
      <c r="D211" s="87" t="e">
        <v>#N/A</v>
      </c>
      <c r="E211" s="86"/>
      <c r="F211" s="89"/>
      <c r="G211" s="89"/>
      <c r="H211" s="92"/>
      <c r="I211" s="92"/>
      <c r="J211" s="89"/>
      <c r="K211" s="89"/>
      <c r="L211" s="89"/>
      <c r="M211" s="89"/>
      <c r="N211" s="89"/>
      <c r="O211" s="86"/>
      <c r="P211" s="86"/>
      <c r="Q211" s="14" t="e">
        <v>#N/A</v>
      </c>
      <c r="R211" s="14" t="e">
        <v>#N/A</v>
      </c>
      <c r="S211" s="14"/>
      <c r="T211" s="90"/>
      <c r="U211" s="14"/>
      <c r="V211" s="14"/>
      <c r="W211" s="14"/>
      <c r="X211" s="86"/>
      <c r="Y211" s="59">
        <f ca="1">Table24[[#This Row],[End Date]]+2-TODAY()</f>
        <v>-45816</v>
      </c>
      <c r="Z211" s="14">
        <f>IF(ISBLANK(Table24[[#This Row],[Roster Received By]]),1,0)</f>
        <v>1</v>
      </c>
      <c r="AA211" s="14">
        <f ca="1">IF(Table24[[#This Row],[Start Date]]&gt;TODAY(),1,)</f>
        <v>0</v>
      </c>
    </row>
    <row r="212" spans="2:27" s="52" customFormat="1" x14ac:dyDescent="0.25">
      <c r="B212" s="86"/>
      <c r="C212" s="87" t="e">
        <v>#N/A</v>
      </c>
      <c r="D212" s="87" t="e">
        <v>#N/A</v>
      </c>
      <c r="E212" s="86"/>
      <c r="F212" s="89"/>
      <c r="G212" s="89"/>
      <c r="H212" s="92"/>
      <c r="I212" s="92"/>
      <c r="J212" s="89"/>
      <c r="K212" s="89"/>
      <c r="L212" s="89"/>
      <c r="M212" s="89"/>
      <c r="N212" s="89"/>
      <c r="O212" s="86"/>
      <c r="P212" s="86"/>
      <c r="Q212" s="14" t="e">
        <v>#N/A</v>
      </c>
      <c r="R212" s="14" t="e">
        <v>#N/A</v>
      </c>
      <c r="S212" s="14"/>
      <c r="T212" s="90"/>
      <c r="U212" s="14"/>
      <c r="V212" s="14"/>
      <c r="W212" s="14"/>
      <c r="X212" s="86"/>
      <c r="Y212" s="59">
        <f ca="1">Table24[[#This Row],[End Date]]+2-TODAY()</f>
        <v>-45816</v>
      </c>
      <c r="Z212" s="14">
        <f>IF(ISBLANK(Table24[[#This Row],[Roster Received By]]),1,0)</f>
        <v>1</v>
      </c>
      <c r="AA212" s="14">
        <f ca="1">IF(Table24[[#This Row],[Start Date]]&gt;TODAY(),1,)</f>
        <v>0</v>
      </c>
    </row>
    <row r="213" spans="2:27" s="52" customFormat="1" x14ac:dyDescent="0.25">
      <c r="B213" s="86"/>
      <c r="C213" s="87" t="e">
        <v>#N/A</v>
      </c>
      <c r="D213" s="87" t="e">
        <v>#N/A</v>
      </c>
      <c r="E213" s="86"/>
      <c r="F213" s="89"/>
      <c r="G213" s="89"/>
      <c r="H213" s="92"/>
      <c r="I213" s="92"/>
      <c r="J213" s="89"/>
      <c r="K213" s="89"/>
      <c r="L213" s="89"/>
      <c r="M213" s="89"/>
      <c r="N213" s="89"/>
      <c r="O213" s="86"/>
      <c r="P213" s="86"/>
      <c r="Q213" s="14" t="e">
        <v>#N/A</v>
      </c>
      <c r="R213" s="14" t="e">
        <v>#N/A</v>
      </c>
      <c r="S213" s="90"/>
      <c r="T213" s="90"/>
      <c r="U213" s="14"/>
      <c r="V213" s="14"/>
      <c r="W213" s="14"/>
      <c r="X213" s="86"/>
      <c r="Y213" s="59">
        <f ca="1">Table24[[#This Row],[End Date]]+2-TODAY()</f>
        <v>-45816</v>
      </c>
      <c r="Z213" s="14">
        <f>IF(ISBLANK(Table24[[#This Row],[Roster Received By]]),1,0)</f>
        <v>1</v>
      </c>
      <c r="AA213" s="14">
        <f ca="1">IF(Table24[[#This Row],[Start Date]]&gt;TODAY(),1,)</f>
        <v>0</v>
      </c>
    </row>
    <row r="214" spans="2:27" s="52" customFormat="1" x14ac:dyDescent="0.25">
      <c r="B214" s="86"/>
      <c r="C214" s="87" t="e">
        <v>#N/A</v>
      </c>
      <c r="D214" s="87" t="e">
        <v>#N/A</v>
      </c>
      <c r="E214" s="86"/>
      <c r="F214" s="89"/>
      <c r="G214" s="89"/>
      <c r="H214" s="92"/>
      <c r="I214" s="92"/>
      <c r="J214" s="92"/>
      <c r="K214" s="92"/>
      <c r="L214" s="92"/>
      <c r="M214" s="92"/>
      <c r="N214" s="89"/>
      <c r="O214" s="86"/>
      <c r="P214" s="86"/>
      <c r="Q214" s="14" t="e">
        <v>#N/A</v>
      </c>
      <c r="R214" s="14" t="e">
        <v>#N/A</v>
      </c>
      <c r="S214" s="14"/>
      <c r="T214" s="90"/>
      <c r="U214" s="14"/>
      <c r="V214" s="14"/>
      <c r="W214" s="14"/>
      <c r="X214" s="86"/>
      <c r="Y214" s="59">
        <f ca="1">Table24[[#This Row],[End Date]]+2-TODAY()</f>
        <v>-45816</v>
      </c>
      <c r="Z214" s="14">
        <f>IF(ISBLANK(Table24[[#This Row],[Roster Received By]]),1,0)</f>
        <v>1</v>
      </c>
      <c r="AA214" s="14">
        <f ca="1">IF(Table24[[#This Row],[Start Date]]&gt;TODAY(),1,)</f>
        <v>0</v>
      </c>
    </row>
    <row r="215" spans="2:27" s="52" customFormat="1" x14ac:dyDescent="0.25">
      <c r="B215" s="86"/>
      <c r="C215" s="87" t="e">
        <v>#N/A</v>
      </c>
      <c r="D215" s="87" t="e">
        <v>#N/A</v>
      </c>
      <c r="E215" s="86"/>
      <c r="F215" s="89"/>
      <c r="G215" s="89"/>
      <c r="H215" s="89"/>
      <c r="I215" s="88"/>
      <c r="J215" s="88"/>
      <c r="K215" s="88"/>
      <c r="L215" s="88"/>
      <c r="M215" s="88"/>
      <c r="N215" s="88"/>
      <c r="O215" s="86"/>
      <c r="P215" s="86"/>
      <c r="Q215" s="14" t="e">
        <v>#N/A</v>
      </c>
      <c r="R215" s="14" t="e">
        <v>#N/A</v>
      </c>
      <c r="S215" s="14"/>
      <c r="T215" s="90"/>
      <c r="U215" s="14"/>
      <c r="V215" s="14"/>
      <c r="W215" s="14"/>
      <c r="X215" s="86"/>
      <c r="Y215" s="59">
        <f ca="1">Table24[[#This Row],[End Date]]+2-TODAY()</f>
        <v>-45816</v>
      </c>
      <c r="Z215" s="14">
        <f>IF(ISBLANK(Table24[[#This Row],[Roster Received By]]),1,0)</f>
        <v>1</v>
      </c>
      <c r="AA215" s="14">
        <f ca="1">IF(Table24[[#This Row],[Start Date]]&gt;TODAY(),1,)</f>
        <v>0</v>
      </c>
    </row>
    <row r="216" spans="2:27" s="52" customFormat="1" x14ac:dyDescent="0.25">
      <c r="B216" s="86"/>
      <c r="C216" s="87" t="e">
        <v>#N/A</v>
      </c>
      <c r="D216" s="87" t="e">
        <v>#N/A</v>
      </c>
      <c r="E216" s="54"/>
      <c r="F216" s="89"/>
      <c r="G216" s="89"/>
      <c r="H216" s="92"/>
      <c r="I216" s="92"/>
      <c r="J216" s="89"/>
      <c r="K216" s="89"/>
      <c r="L216" s="89"/>
      <c r="M216" s="89"/>
      <c r="N216" s="89"/>
      <c r="O216" s="86"/>
      <c r="P216" s="86"/>
      <c r="Q216" s="14" t="e">
        <v>#N/A</v>
      </c>
      <c r="R216" s="14" t="e">
        <v>#N/A</v>
      </c>
      <c r="S216" s="14"/>
      <c r="T216" s="90"/>
      <c r="U216" s="14"/>
      <c r="V216" s="14"/>
      <c r="W216" s="14"/>
      <c r="X216" s="86"/>
      <c r="Y216" s="59">
        <f ca="1">Table24[[#This Row],[End Date]]+2-TODAY()</f>
        <v>-45816</v>
      </c>
      <c r="Z216" s="14">
        <f>IF(ISBLANK(Table24[[#This Row],[Roster Received By]]),1,0)</f>
        <v>1</v>
      </c>
      <c r="AA216" s="14">
        <f ca="1">IF(Table24[[#This Row],[Start Date]]&gt;TODAY(),1,)</f>
        <v>0</v>
      </c>
    </row>
    <row r="217" spans="2:27" s="52" customFormat="1" x14ac:dyDescent="0.25">
      <c r="B217" s="86"/>
      <c r="C217" s="87" t="e">
        <v>#N/A</v>
      </c>
      <c r="D217" s="87" t="e">
        <v>#N/A</v>
      </c>
      <c r="E217" s="86"/>
      <c r="F217" s="89"/>
      <c r="G217" s="89"/>
      <c r="H217" s="92"/>
      <c r="I217" s="92"/>
      <c r="J217" s="121"/>
      <c r="K217" s="121"/>
      <c r="L217" s="121"/>
      <c r="M217" s="121"/>
      <c r="N217" s="89"/>
      <c r="O217" s="86"/>
      <c r="P217" s="86"/>
      <c r="Q217" s="14" t="e">
        <v>#N/A</v>
      </c>
      <c r="R217" s="14" t="e">
        <v>#N/A</v>
      </c>
      <c r="S217" s="14"/>
      <c r="T217" s="90"/>
      <c r="U217" s="14"/>
      <c r="V217" s="14"/>
      <c r="W217" s="94"/>
      <c r="X217" s="86"/>
      <c r="Y217" s="59">
        <f ca="1">Table24[[#This Row],[End Date]]+2-TODAY()</f>
        <v>-45816</v>
      </c>
      <c r="Z217" s="14">
        <f>IF(ISBLANK(Table24[[#This Row],[Roster Received By]]),1,0)</f>
        <v>1</v>
      </c>
      <c r="AA217" s="14">
        <f ca="1">IF(Table24[[#This Row],[Start Date]]&gt;TODAY(),1,)</f>
        <v>0</v>
      </c>
    </row>
    <row r="218" spans="2:27" s="52" customFormat="1" x14ac:dyDescent="0.25">
      <c r="B218" s="86"/>
      <c r="C218" s="87" t="e">
        <v>#N/A</v>
      </c>
      <c r="D218" s="87" t="e">
        <v>#N/A</v>
      </c>
      <c r="E218" s="86"/>
      <c r="F218" s="89"/>
      <c r="G218" s="89"/>
      <c r="H218" s="89"/>
      <c r="I218" s="88"/>
      <c r="J218" s="88"/>
      <c r="K218" s="88"/>
      <c r="L218" s="88"/>
      <c r="M218" s="88"/>
      <c r="N218" s="88"/>
      <c r="O218" s="86"/>
      <c r="P218" s="86"/>
      <c r="Q218" s="14" t="e">
        <v>#N/A</v>
      </c>
      <c r="R218" s="14" t="e">
        <v>#N/A</v>
      </c>
      <c r="S218" s="14"/>
      <c r="T218" s="90"/>
      <c r="U218" s="14"/>
      <c r="V218" s="14"/>
      <c r="W218" s="14"/>
      <c r="X218" s="86"/>
      <c r="Y218" s="59">
        <f ca="1">Table24[[#This Row],[End Date]]+2-TODAY()</f>
        <v>-45816</v>
      </c>
      <c r="Z218" s="14">
        <f>IF(ISBLANK(Table24[[#This Row],[Roster Received By]]),1,0)</f>
        <v>1</v>
      </c>
      <c r="AA218" s="14">
        <f ca="1">IF(Table24[[#This Row],[Start Date]]&gt;TODAY(),1,)</f>
        <v>0</v>
      </c>
    </row>
    <row r="219" spans="2:27" s="52" customFormat="1" x14ac:dyDescent="0.25">
      <c r="B219" s="86"/>
      <c r="C219" s="87" t="e">
        <v>#N/A</v>
      </c>
      <c r="D219" s="87" t="e">
        <v>#N/A</v>
      </c>
      <c r="E219" s="86"/>
      <c r="F219" s="89"/>
      <c r="G219" s="89"/>
      <c r="H219" s="89"/>
      <c r="I219" s="88"/>
      <c r="J219" s="88"/>
      <c r="K219" s="88"/>
      <c r="L219" s="88"/>
      <c r="M219" s="88"/>
      <c r="N219" s="88"/>
      <c r="O219" s="86"/>
      <c r="P219" s="86"/>
      <c r="Q219" s="14" t="e">
        <v>#N/A</v>
      </c>
      <c r="R219" s="14" t="e">
        <v>#N/A</v>
      </c>
      <c r="S219" s="14"/>
      <c r="T219" s="90"/>
      <c r="U219" s="14"/>
      <c r="V219" s="14"/>
      <c r="W219" s="14"/>
      <c r="X219" s="86"/>
      <c r="Y219" s="59">
        <f ca="1">Table24[[#This Row],[End Date]]+2-TODAY()</f>
        <v>-45816</v>
      </c>
      <c r="Z219" s="14">
        <f>IF(ISBLANK(Table24[[#This Row],[Roster Received By]]),1,0)</f>
        <v>1</v>
      </c>
      <c r="AA219" s="14">
        <f ca="1">IF(Table24[[#This Row],[Start Date]]&gt;TODAY(),1,)</f>
        <v>0</v>
      </c>
    </row>
    <row r="220" spans="2:27" s="52" customFormat="1" x14ac:dyDescent="0.25">
      <c r="B220" s="86"/>
      <c r="C220" s="87" t="e">
        <v>#N/A</v>
      </c>
      <c r="D220" s="87" t="e">
        <v>#N/A</v>
      </c>
      <c r="E220" s="86"/>
      <c r="F220" s="89"/>
      <c r="G220" s="89"/>
      <c r="H220" s="89"/>
      <c r="I220" s="88"/>
      <c r="J220" s="88"/>
      <c r="K220" s="88"/>
      <c r="L220" s="88"/>
      <c r="M220" s="88"/>
      <c r="N220" s="88"/>
      <c r="O220" s="86"/>
      <c r="P220" s="86"/>
      <c r="Q220" s="14" t="e">
        <v>#N/A</v>
      </c>
      <c r="R220" s="14" t="e">
        <v>#N/A</v>
      </c>
      <c r="S220" s="14"/>
      <c r="T220" s="90"/>
      <c r="U220" s="14"/>
      <c r="V220" s="14"/>
      <c r="W220" s="14"/>
      <c r="X220" s="86"/>
      <c r="Y220" s="59">
        <f ca="1">Table24[[#This Row],[End Date]]+2-TODAY()</f>
        <v>-45816</v>
      </c>
      <c r="Z220" s="14">
        <f>IF(ISBLANK(Table24[[#This Row],[Roster Received By]]),1,0)</f>
        <v>1</v>
      </c>
      <c r="AA220" s="14">
        <f ca="1">IF(Table24[[#This Row],[Start Date]]&gt;TODAY(),1,)</f>
        <v>0</v>
      </c>
    </row>
    <row r="221" spans="2:27" s="52" customFormat="1" x14ac:dyDescent="0.25">
      <c r="B221" s="86"/>
      <c r="C221" s="87" t="e">
        <v>#N/A</v>
      </c>
      <c r="D221" s="87" t="e">
        <v>#N/A</v>
      </c>
      <c r="E221" s="54"/>
      <c r="F221" s="89"/>
      <c r="G221" s="89"/>
      <c r="H221" s="95"/>
      <c r="I221" s="95"/>
      <c r="J221" s="89"/>
      <c r="K221" s="89"/>
      <c r="L221" s="89"/>
      <c r="M221" s="89"/>
      <c r="N221" s="89"/>
      <c r="O221" s="86"/>
      <c r="P221" s="86"/>
      <c r="Q221" s="14" t="e">
        <v>#N/A</v>
      </c>
      <c r="R221" s="14" t="e">
        <v>#N/A</v>
      </c>
      <c r="S221" s="14"/>
      <c r="T221" s="90"/>
      <c r="U221" s="14"/>
      <c r="V221" s="14"/>
      <c r="W221" s="90"/>
      <c r="X221" s="86"/>
      <c r="Y221" s="59">
        <f ca="1">Table24[[#This Row],[End Date]]+2-TODAY()</f>
        <v>-45816</v>
      </c>
      <c r="Z221" s="14">
        <f>IF(ISBLANK(Table24[[#This Row],[Roster Received By]]),1,0)</f>
        <v>1</v>
      </c>
      <c r="AA221" s="14">
        <f ca="1">IF(Table24[[#This Row],[Start Date]]&gt;TODAY(),1,)</f>
        <v>0</v>
      </c>
    </row>
    <row r="222" spans="2:27" s="52" customFormat="1" x14ac:dyDescent="0.25">
      <c r="B222" s="86"/>
      <c r="C222" s="87" t="e">
        <v>#N/A</v>
      </c>
      <c r="D222" s="87" t="e">
        <v>#N/A</v>
      </c>
      <c r="E222" s="86"/>
      <c r="F222" s="89"/>
      <c r="G222" s="89"/>
      <c r="H222" s="89"/>
      <c r="I222" s="88"/>
      <c r="J222" s="88"/>
      <c r="K222" s="88"/>
      <c r="L222" s="88"/>
      <c r="M222" s="88"/>
      <c r="N222" s="88"/>
      <c r="O222" s="86"/>
      <c r="P222" s="86"/>
      <c r="Q222" s="14" t="e">
        <v>#N/A</v>
      </c>
      <c r="R222" s="14" t="e">
        <v>#N/A</v>
      </c>
      <c r="S222" s="14"/>
      <c r="T222" s="90"/>
      <c r="U222" s="14"/>
      <c r="V222" s="14"/>
      <c r="W222" s="14"/>
      <c r="X222" s="86"/>
      <c r="Y222" s="59">
        <f ca="1">Table24[[#This Row],[End Date]]+2-TODAY()</f>
        <v>-45816</v>
      </c>
      <c r="Z222" s="14">
        <f>IF(ISBLANK(Table24[[#This Row],[Roster Received By]]),1,0)</f>
        <v>1</v>
      </c>
      <c r="AA222" s="14">
        <f ca="1">IF(Table24[[#This Row],[Start Date]]&gt;TODAY(),1,)</f>
        <v>0</v>
      </c>
    </row>
    <row r="223" spans="2:27" s="52" customFormat="1" x14ac:dyDescent="0.25">
      <c r="B223" s="86"/>
      <c r="C223" s="87" t="e">
        <v>#N/A</v>
      </c>
      <c r="D223" s="87" t="e">
        <v>#N/A</v>
      </c>
      <c r="E223" s="86"/>
      <c r="F223" s="89"/>
      <c r="G223" s="89"/>
      <c r="H223" s="89"/>
      <c r="I223" s="88"/>
      <c r="J223" s="88"/>
      <c r="K223" s="88"/>
      <c r="L223" s="88"/>
      <c r="M223" s="88"/>
      <c r="N223" s="88"/>
      <c r="O223" s="86"/>
      <c r="P223" s="86"/>
      <c r="Q223" s="14" t="e">
        <v>#N/A</v>
      </c>
      <c r="R223" s="14" t="e">
        <v>#N/A</v>
      </c>
      <c r="S223" s="14"/>
      <c r="T223" s="90"/>
      <c r="U223" s="14"/>
      <c r="V223" s="14"/>
      <c r="W223" s="91"/>
      <c r="X223" s="86"/>
      <c r="Y223" s="59">
        <f ca="1">Table24[[#This Row],[End Date]]+2-TODAY()</f>
        <v>-45816</v>
      </c>
      <c r="Z223" s="14">
        <f>IF(ISBLANK(Table24[[#This Row],[Roster Received By]]),1,0)</f>
        <v>1</v>
      </c>
      <c r="AA223" s="14">
        <f ca="1">IF(Table24[[#This Row],[Start Date]]&gt;TODAY(),1,)</f>
        <v>0</v>
      </c>
    </row>
    <row r="224" spans="2:27" s="52" customFormat="1" x14ac:dyDescent="0.25">
      <c r="B224" s="86"/>
      <c r="C224" s="87" t="e">
        <v>#N/A</v>
      </c>
      <c r="D224" s="87" t="e">
        <v>#N/A</v>
      </c>
      <c r="E224" s="54"/>
      <c r="F224" s="89"/>
      <c r="G224" s="89"/>
      <c r="H224" s="92"/>
      <c r="I224" s="92"/>
      <c r="J224" s="89"/>
      <c r="K224" s="89"/>
      <c r="L224" s="89"/>
      <c r="M224" s="89"/>
      <c r="N224" s="89"/>
      <c r="O224" s="86"/>
      <c r="P224" s="86"/>
      <c r="Q224" s="14" t="e">
        <v>#N/A</v>
      </c>
      <c r="R224" s="14" t="e">
        <v>#N/A</v>
      </c>
      <c r="S224" s="14"/>
      <c r="T224" s="90"/>
      <c r="U224" s="14"/>
      <c r="V224" s="14"/>
      <c r="W224" s="87"/>
      <c r="X224" s="86"/>
      <c r="Y224" s="59">
        <f ca="1">Table24[[#This Row],[End Date]]+2-TODAY()</f>
        <v>-45816</v>
      </c>
      <c r="Z224" s="14">
        <f>IF(ISBLANK(Table24[[#This Row],[Roster Received By]]),1,0)</f>
        <v>1</v>
      </c>
      <c r="AA224" s="14">
        <f ca="1">IF(Table24[[#This Row],[Start Date]]&gt;TODAY(),1,)</f>
        <v>0</v>
      </c>
    </row>
    <row r="225" spans="1:27" s="100" customFormat="1" x14ac:dyDescent="0.25">
      <c r="A225" s="52"/>
      <c r="B225" s="86"/>
      <c r="C225" s="87" t="e">
        <v>#N/A</v>
      </c>
      <c r="D225" s="87" t="e">
        <v>#N/A</v>
      </c>
      <c r="E225" s="86"/>
      <c r="F225" s="89"/>
      <c r="G225" s="89"/>
      <c r="H225" s="89"/>
      <c r="I225" s="88"/>
      <c r="J225" s="88"/>
      <c r="K225" s="88"/>
      <c r="L225" s="88"/>
      <c r="M225" s="88"/>
      <c r="N225" s="88"/>
      <c r="O225" s="86"/>
      <c r="P225" s="86"/>
      <c r="Q225" s="14" t="e">
        <v>#N/A</v>
      </c>
      <c r="R225" s="14" t="e">
        <v>#N/A</v>
      </c>
      <c r="S225" s="14"/>
      <c r="T225" s="90"/>
      <c r="U225" s="14"/>
      <c r="V225" s="14"/>
      <c r="W225" s="14"/>
      <c r="X225" s="86"/>
      <c r="Y225" s="59">
        <f ca="1">Table24[[#This Row],[End Date]]+2-TODAY()</f>
        <v>-45816</v>
      </c>
      <c r="Z225" s="14">
        <f>IF(ISBLANK(Table24[[#This Row],[Roster Received By]]),1,0)</f>
        <v>1</v>
      </c>
      <c r="AA225" s="14">
        <f ca="1">IF(Table24[[#This Row],[Start Date]]&gt;TODAY(),1,)</f>
        <v>0</v>
      </c>
    </row>
    <row r="226" spans="1:27" s="52" customFormat="1" x14ac:dyDescent="0.25">
      <c r="A226" s="86"/>
      <c r="B226" s="86"/>
      <c r="C226" s="87" t="e">
        <v>#N/A</v>
      </c>
      <c r="D226" s="87" t="e">
        <v>#N/A</v>
      </c>
      <c r="E226" s="54"/>
      <c r="F226" s="89"/>
      <c r="G226" s="89"/>
      <c r="H226" s="92"/>
      <c r="I226" s="92"/>
      <c r="J226" s="89"/>
      <c r="K226" s="89"/>
      <c r="L226" s="89"/>
      <c r="M226" s="89"/>
      <c r="N226" s="89"/>
      <c r="O226" s="86"/>
      <c r="P226" s="86"/>
      <c r="Q226" s="14" t="e">
        <v>#N/A</v>
      </c>
      <c r="R226" s="14" t="e">
        <v>#N/A</v>
      </c>
      <c r="S226" s="14"/>
      <c r="T226" s="90"/>
      <c r="U226" s="14"/>
      <c r="V226" s="14"/>
      <c r="W226" s="87"/>
      <c r="X226" s="86"/>
      <c r="Y226" s="59">
        <f ca="1">Table24[[#This Row],[End Date]]+2-TODAY()</f>
        <v>-45816</v>
      </c>
      <c r="Z226" s="14">
        <f>IF(ISBLANK(Table24[[#This Row],[Roster Received By]]),1,0)</f>
        <v>1</v>
      </c>
      <c r="AA226" s="14">
        <f ca="1">IF(Table24[[#This Row],[Start Date]]&gt;TODAY(),1,)</f>
        <v>0</v>
      </c>
    </row>
    <row r="227" spans="1:27" s="52" customFormat="1" x14ac:dyDescent="0.25">
      <c r="B227" s="86"/>
      <c r="C227" s="87" t="e">
        <v>#N/A</v>
      </c>
      <c r="D227" s="87" t="e">
        <v>#N/A</v>
      </c>
      <c r="E227" s="86"/>
      <c r="F227" s="89"/>
      <c r="G227" s="89"/>
      <c r="H227" s="92"/>
      <c r="I227" s="92"/>
      <c r="J227" s="89"/>
      <c r="K227" s="89"/>
      <c r="L227" s="89"/>
      <c r="M227" s="89"/>
      <c r="N227" s="89"/>
      <c r="O227" s="86"/>
      <c r="P227" s="86"/>
      <c r="Q227" s="14" t="e">
        <v>#N/A</v>
      </c>
      <c r="R227" s="14" t="e">
        <v>#N/A</v>
      </c>
      <c r="S227" s="14"/>
      <c r="T227" s="90"/>
      <c r="U227" s="14"/>
      <c r="V227" s="14"/>
      <c r="W227" s="87"/>
      <c r="X227" s="86"/>
      <c r="Y227" s="59">
        <f ca="1">Table24[[#This Row],[End Date]]+2-TODAY()</f>
        <v>-45816</v>
      </c>
      <c r="Z227" s="14">
        <f>IF(ISBLANK(Table24[[#This Row],[Roster Received By]]),1,0)</f>
        <v>1</v>
      </c>
      <c r="AA227" s="14">
        <f ca="1">IF(Table24[[#This Row],[Start Date]]&gt;TODAY(),1,)</f>
        <v>0</v>
      </c>
    </row>
    <row r="228" spans="1:27" s="52" customFormat="1" x14ac:dyDescent="0.25">
      <c r="B228" s="86"/>
      <c r="C228" s="87" t="e">
        <v>#N/A</v>
      </c>
      <c r="D228" s="87" t="e">
        <v>#N/A</v>
      </c>
      <c r="E228" s="86"/>
      <c r="F228" s="89"/>
      <c r="G228" s="89"/>
      <c r="H228" s="89"/>
      <c r="I228" s="88"/>
      <c r="J228" s="88"/>
      <c r="K228" s="88"/>
      <c r="L228" s="88"/>
      <c r="M228" s="88"/>
      <c r="N228" s="88"/>
      <c r="O228" s="86"/>
      <c r="P228" s="86"/>
      <c r="Q228" s="14" t="e">
        <v>#N/A</v>
      </c>
      <c r="R228" s="14" t="e">
        <v>#N/A</v>
      </c>
      <c r="S228" s="14"/>
      <c r="T228" s="90"/>
      <c r="U228" s="14"/>
      <c r="V228" s="14"/>
      <c r="W228" s="14"/>
      <c r="X228" s="86"/>
      <c r="Y228" s="59">
        <f ca="1">Table24[[#This Row],[End Date]]+2-TODAY()</f>
        <v>-45816</v>
      </c>
      <c r="Z228" s="14">
        <f>IF(ISBLANK(Table24[[#This Row],[Roster Received By]]),1,0)</f>
        <v>1</v>
      </c>
      <c r="AA228" s="14">
        <f ca="1">IF(Table24[[#This Row],[Start Date]]&gt;TODAY(),1,)</f>
        <v>0</v>
      </c>
    </row>
    <row r="229" spans="1:27" s="52" customFormat="1" x14ac:dyDescent="0.25">
      <c r="B229" s="86"/>
      <c r="C229" s="87" t="e">
        <v>#N/A</v>
      </c>
      <c r="D229" s="87" t="e">
        <v>#N/A</v>
      </c>
      <c r="E229" s="86"/>
      <c r="F229" s="89"/>
      <c r="G229" s="89"/>
      <c r="H229" s="92"/>
      <c r="I229" s="92"/>
      <c r="J229" s="92"/>
      <c r="K229" s="92"/>
      <c r="L229" s="92"/>
      <c r="M229" s="92"/>
      <c r="N229" s="89"/>
      <c r="O229" s="86"/>
      <c r="P229" s="86"/>
      <c r="Q229" s="14" t="e">
        <v>#N/A</v>
      </c>
      <c r="R229" s="14" t="e">
        <v>#N/A</v>
      </c>
      <c r="S229" s="14"/>
      <c r="T229" s="90"/>
      <c r="U229" s="14"/>
      <c r="V229" s="14"/>
      <c r="W229" s="14"/>
      <c r="X229" s="86"/>
      <c r="Y229" s="59">
        <f ca="1">Table24[[#This Row],[End Date]]+2-TODAY()</f>
        <v>-45816</v>
      </c>
      <c r="Z229" s="14">
        <f>IF(ISBLANK(Table24[[#This Row],[Roster Received By]]),1,0)</f>
        <v>1</v>
      </c>
      <c r="AA229" s="14">
        <f ca="1">IF(Table24[[#This Row],[Start Date]]&gt;TODAY(),1,)</f>
        <v>0</v>
      </c>
    </row>
    <row r="230" spans="1:27" s="52" customFormat="1" x14ac:dyDescent="0.25">
      <c r="B230" s="86"/>
      <c r="C230" s="87" t="e">
        <v>#N/A</v>
      </c>
      <c r="D230" s="87" t="e">
        <v>#N/A</v>
      </c>
      <c r="E230" s="86"/>
      <c r="F230" s="89"/>
      <c r="G230" s="89"/>
      <c r="H230" s="92"/>
      <c r="I230" s="92"/>
      <c r="J230" s="92"/>
      <c r="K230" s="92"/>
      <c r="L230" s="92"/>
      <c r="M230" s="92"/>
      <c r="N230" s="89"/>
      <c r="O230" s="86"/>
      <c r="P230" s="86"/>
      <c r="Q230" s="14" t="e">
        <v>#N/A</v>
      </c>
      <c r="R230" s="14" t="e">
        <v>#N/A</v>
      </c>
      <c r="S230" s="14"/>
      <c r="T230" s="90"/>
      <c r="U230" s="14"/>
      <c r="V230" s="14"/>
      <c r="W230" s="14"/>
      <c r="X230" s="86"/>
      <c r="Y230" s="59">
        <f ca="1">Table24[[#This Row],[End Date]]+2-TODAY()</f>
        <v>-45816</v>
      </c>
      <c r="Z230" s="14">
        <f>IF(ISBLANK(Table24[[#This Row],[Roster Received By]]),1,0)</f>
        <v>1</v>
      </c>
      <c r="AA230" s="14">
        <f ca="1">IF(Table24[[#This Row],[Start Date]]&gt;TODAY(),1,)</f>
        <v>0</v>
      </c>
    </row>
    <row r="231" spans="1:27" s="52" customFormat="1" x14ac:dyDescent="0.25">
      <c r="B231" s="86"/>
      <c r="C231" s="87" t="e">
        <v>#N/A</v>
      </c>
      <c r="D231" s="87" t="e">
        <v>#N/A</v>
      </c>
      <c r="E231" s="86"/>
      <c r="F231" s="89"/>
      <c r="G231" s="89"/>
      <c r="H231" s="89"/>
      <c r="I231" s="88"/>
      <c r="J231" s="88"/>
      <c r="K231" s="88"/>
      <c r="L231" s="88"/>
      <c r="M231" s="88"/>
      <c r="N231" s="88"/>
      <c r="O231" s="86"/>
      <c r="P231" s="86"/>
      <c r="Q231" s="14" t="e">
        <v>#N/A</v>
      </c>
      <c r="R231" s="14" t="e">
        <v>#N/A</v>
      </c>
      <c r="S231" s="14"/>
      <c r="T231" s="90"/>
      <c r="U231" s="14"/>
      <c r="V231" s="14"/>
      <c r="W231" s="14"/>
      <c r="X231" s="86"/>
      <c r="Y231" s="59">
        <f ca="1">Table24[[#This Row],[End Date]]+2-TODAY()</f>
        <v>-45816</v>
      </c>
      <c r="Z231" s="14">
        <f>IF(ISBLANK(Table24[[#This Row],[Roster Received By]]),1,0)</f>
        <v>1</v>
      </c>
      <c r="AA231" s="14">
        <f ca="1">IF(Table24[[#This Row],[Start Date]]&gt;TODAY(),1,)</f>
        <v>0</v>
      </c>
    </row>
    <row r="232" spans="1:27" s="52" customFormat="1" x14ac:dyDescent="0.25">
      <c r="B232" s="86"/>
      <c r="C232" s="87" t="e">
        <v>#N/A</v>
      </c>
      <c r="D232" s="87" t="e">
        <v>#N/A</v>
      </c>
      <c r="E232" s="86"/>
      <c r="F232" s="89"/>
      <c r="G232" s="89"/>
      <c r="H232" s="89"/>
      <c r="I232" s="88"/>
      <c r="J232" s="88"/>
      <c r="K232" s="88"/>
      <c r="L232" s="88"/>
      <c r="M232" s="88"/>
      <c r="N232" s="88"/>
      <c r="O232" s="86"/>
      <c r="P232" s="86"/>
      <c r="Q232" s="14" t="e">
        <v>#N/A</v>
      </c>
      <c r="R232" s="14" t="e">
        <v>#N/A</v>
      </c>
      <c r="S232" s="14"/>
      <c r="T232" s="90"/>
      <c r="U232" s="14"/>
      <c r="V232" s="14"/>
      <c r="W232" s="14"/>
      <c r="X232" s="86"/>
      <c r="Y232" s="59">
        <f ca="1">Table24[[#This Row],[End Date]]+2-TODAY()</f>
        <v>-45816</v>
      </c>
      <c r="Z232" s="14">
        <f>IF(ISBLANK(Table24[[#This Row],[Roster Received By]]),1,0)</f>
        <v>1</v>
      </c>
      <c r="AA232" s="14">
        <f ca="1">IF(Table24[[#This Row],[Start Date]]&gt;TODAY(),1,)</f>
        <v>0</v>
      </c>
    </row>
    <row r="233" spans="1:27" s="52" customFormat="1" x14ac:dyDescent="0.25">
      <c r="B233" s="86"/>
      <c r="C233" s="87" t="e">
        <v>#N/A</v>
      </c>
      <c r="D233" s="87" t="e">
        <v>#N/A</v>
      </c>
      <c r="E233" s="86"/>
      <c r="F233" s="89"/>
      <c r="G233" s="89"/>
      <c r="H233" s="89"/>
      <c r="I233" s="88"/>
      <c r="J233" s="88"/>
      <c r="K233" s="88"/>
      <c r="L233" s="88"/>
      <c r="M233" s="88"/>
      <c r="N233" s="88"/>
      <c r="O233" s="86"/>
      <c r="P233" s="86"/>
      <c r="Q233" s="14" t="e">
        <v>#N/A</v>
      </c>
      <c r="R233" s="14" t="e">
        <v>#N/A</v>
      </c>
      <c r="S233" s="14"/>
      <c r="T233" s="90"/>
      <c r="U233" s="14"/>
      <c r="V233" s="14"/>
      <c r="W233" s="14"/>
      <c r="X233" s="86"/>
      <c r="Y233" s="59">
        <f ca="1">Table24[[#This Row],[End Date]]+2-TODAY()</f>
        <v>-45816</v>
      </c>
      <c r="Z233" s="14">
        <f>IF(ISBLANK(Table24[[#This Row],[Roster Received By]]),1,0)</f>
        <v>1</v>
      </c>
      <c r="AA233" s="14">
        <f ca="1">IF(Table24[[#This Row],[Start Date]]&gt;TODAY(),1,)</f>
        <v>0</v>
      </c>
    </row>
    <row r="234" spans="1:27" s="52" customFormat="1" x14ac:dyDescent="0.25">
      <c r="B234" s="86"/>
      <c r="C234" s="87" t="e">
        <v>#N/A</v>
      </c>
      <c r="D234" s="87" t="e">
        <v>#N/A</v>
      </c>
      <c r="E234" s="86"/>
      <c r="F234" s="89"/>
      <c r="G234" s="89"/>
      <c r="H234" s="89"/>
      <c r="I234" s="88"/>
      <c r="J234" s="88"/>
      <c r="K234" s="88"/>
      <c r="L234" s="88"/>
      <c r="M234" s="88"/>
      <c r="N234" s="88"/>
      <c r="O234" s="86"/>
      <c r="P234" s="86"/>
      <c r="Q234" s="14" t="e">
        <v>#N/A</v>
      </c>
      <c r="R234" s="14" t="e">
        <v>#N/A</v>
      </c>
      <c r="S234" s="14"/>
      <c r="T234" s="90"/>
      <c r="U234" s="14"/>
      <c r="V234" s="14"/>
      <c r="W234" s="14"/>
      <c r="X234" s="86"/>
      <c r="Y234" s="59">
        <f ca="1">Table24[[#This Row],[End Date]]+2-TODAY()</f>
        <v>-45816</v>
      </c>
      <c r="Z234" s="14">
        <f>IF(ISBLANK(Table24[[#This Row],[Roster Received By]]),1,0)</f>
        <v>1</v>
      </c>
      <c r="AA234" s="14">
        <f ca="1">IF(Table24[[#This Row],[Start Date]]&gt;TODAY(),1,)</f>
        <v>0</v>
      </c>
    </row>
    <row r="235" spans="1:27" s="52" customFormat="1" x14ac:dyDescent="0.25">
      <c r="B235" s="86"/>
      <c r="C235" s="87" t="e">
        <v>#N/A</v>
      </c>
      <c r="D235" s="87" t="e">
        <v>#N/A</v>
      </c>
      <c r="E235" s="86"/>
      <c r="F235" s="89"/>
      <c r="G235" s="89"/>
      <c r="H235" s="89"/>
      <c r="I235" s="88"/>
      <c r="J235" s="88"/>
      <c r="K235" s="88"/>
      <c r="L235" s="88"/>
      <c r="M235" s="88"/>
      <c r="N235" s="88"/>
      <c r="O235" s="86"/>
      <c r="P235" s="86"/>
      <c r="Q235" s="14" t="e">
        <v>#N/A</v>
      </c>
      <c r="R235" s="14" t="e">
        <v>#N/A</v>
      </c>
      <c r="S235" s="14"/>
      <c r="T235" s="90"/>
      <c r="U235" s="14"/>
      <c r="V235" s="14"/>
      <c r="W235" s="14"/>
      <c r="X235" s="86"/>
      <c r="Y235" s="59">
        <f ca="1">Table24[[#This Row],[End Date]]+2-TODAY()</f>
        <v>-45816</v>
      </c>
      <c r="Z235" s="14">
        <f>IF(ISBLANK(Table24[[#This Row],[Roster Received By]]),1,0)</f>
        <v>1</v>
      </c>
      <c r="AA235" s="14">
        <f ca="1">IF(Table24[[#This Row],[Start Date]]&gt;TODAY(),1,)</f>
        <v>0</v>
      </c>
    </row>
    <row r="236" spans="1:27" s="52" customFormat="1" x14ac:dyDescent="0.25">
      <c r="B236" s="86"/>
      <c r="C236" s="87" t="e">
        <v>#N/A</v>
      </c>
      <c r="D236" s="87" t="e">
        <v>#N/A</v>
      </c>
      <c r="E236" s="86"/>
      <c r="F236" s="89"/>
      <c r="G236" s="89"/>
      <c r="H236" s="95"/>
      <c r="I236" s="92"/>
      <c r="J236" s="89"/>
      <c r="K236" s="89"/>
      <c r="L236" s="89"/>
      <c r="M236" s="89"/>
      <c r="N236" s="89"/>
      <c r="O236" s="86"/>
      <c r="P236" s="86"/>
      <c r="Q236" s="14" t="e">
        <v>#N/A</v>
      </c>
      <c r="R236" s="14" t="e">
        <v>#N/A</v>
      </c>
      <c r="S236" s="90"/>
      <c r="T236" s="90"/>
      <c r="U236" s="14"/>
      <c r="V236" s="14"/>
      <c r="W236" s="14"/>
      <c r="X236" s="86"/>
      <c r="Y236" s="59">
        <f ca="1">Table24[[#This Row],[End Date]]+2-TODAY()</f>
        <v>-45816</v>
      </c>
      <c r="Z236" s="14">
        <f>IF(ISBLANK(Table24[[#This Row],[Roster Received By]]),1,0)</f>
        <v>1</v>
      </c>
      <c r="AA236" s="14">
        <f ca="1">IF(Table24[[#This Row],[Start Date]]&gt;TODAY(),1,)</f>
        <v>0</v>
      </c>
    </row>
    <row r="237" spans="1:27" s="52" customFormat="1" x14ac:dyDescent="0.25">
      <c r="B237" s="103"/>
      <c r="C237" s="87" t="e">
        <v>#N/A</v>
      </c>
      <c r="D237" s="87" t="e">
        <v>#N/A</v>
      </c>
      <c r="E237" s="86"/>
      <c r="F237" s="89"/>
      <c r="G237" s="89"/>
      <c r="H237" s="89"/>
      <c r="I237" s="88"/>
      <c r="J237" s="88"/>
      <c r="K237" s="88"/>
      <c r="L237" s="88"/>
      <c r="M237" s="88"/>
      <c r="N237" s="88"/>
      <c r="O237" s="86"/>
      <c r="P237" s="86"/>
      <c r="Q237" s="14" t="e">
        <v>#N/A</v>
      </c>
      <c r="R237" s="14" t="e">
        <v>#N/A</v>
      </c>
      <c r="S237" s="14"/>
      <c r="T237" s="90"/>
      <c r="U237" s="14"/>
      <c r="V237" s="14"/>
      <c r="W237" s="14"/>
      <c r="X237" s="86"/>
      <c r="Y237" s="59">
        <f ca="1">Table24[[#This Row],[End Date]]+2-TODAY()</f>
        <v>-45816</v>
      </c>
      <c r="Z237" s="14">
        <f>IF(ISBLANK(Table24[[#This Row],[Roster Received By]]),1,0)</f>
        <v>1</v>
      </c>
      <c r="AA237" s="14">
        <f ca="1">IF(Table24[[#This Row],[Start Date]]&gt;TODAY(),1,)</f>
        <v>0</v>
      </c>
    </row>
    <row r="238" spans="1:27" s="52" customFormat="1" x14ac:dyDescent="0.25">
      <c r="B238" s="86"/>
      <c r="C238" s="87" t="e">
        <v>#N/A</v>
      </c>
      <c r="D238" s="87" t="e">
        <v>#N/A</v>
      </c>
      <c r="E238" s="86"/>
      <c r="F238" s="89"/>
      <c r="G238" s="89"/>
      <c r="H238" s="92"/>
      <c r="I238" s="92"/>
      <c r="J238" s="89"/>
      <c r="K238" s="89"/>
      <c r="L238" s="89"/>
      <c r="M238" s="89"/>
      <c r="N238" s="89"/>
      <c r="O238" s="86"/>
      <c r="P238" s="86"/>
      <c r="Q238" s="14" t="e">
        <v>#N/A</v>
      </c>
      <c r="R238" s="14" t="e">
        <v>#N/A</v>
      </c>
      <c r="S238" s="14"/>
      <c r="T238" s="90"/>
      <c r="U238" s="14"/>
      <c r="V238" s="14"/>
      <c r="W238" s="91"/>
      <c r="X238" s="86"/>
      <c r="Y238" s="59">
        <f ca="1">Table24[[#This Row],[End Date]]+2-TODAY()</f>
        <v>-45816</v>
      </c>
      <c r="Z238" s="14">
        <f>IF(ISBLANK(Table24[[#This Row],[Roster Received By]]),1,0)</f>
        <v>1</v>
      </c>
      <c r="AA238" s="14">
        <f ca="1">IF(Table24[[#This Row],[Start Date]]&gt;TODAY(),1,)</f>
        <v>0</v>
      </c>
    </row>
    <row r="239" spans="1:27" s="52" customFormat="1" x14ac:dyDescent="0.25">
      <c r="B239" s="103"/>
      <c r="C239" s="87" t="e">
        <v>#N/A</v>
      </c>
      <c r="D239" s="87" t="e">
        <v>#N/A</v>
      </c>
      <c r="E239" s="86"/>
      <c r="F239" s="89"/>
      <c r="G239" s="89"/>
      <c r="H239" s="92"/>
      <c r="I239" s="92"/>
      <c r="J239" s="92"/>
      <c r="K239" s="92"/>
      <c r="L239" s="92"/>
      <c r="M239" s="92"/>
      <c r="N239" s="89"/>
      <c r="O239" s="86"/>
      <c r="P239" s="86"/>
      <c r="Q239" s="14" t="e">
        <v>#N/A</v>
      </c>
      <c r="R239" s="14" t="e">
        <v>#N/A</v>
      </c>
      <c r="S239" s="14"/>
      <c r="T239" s="90"/>
      <c r="U239" s="14"/>
      <c r="V239" s="14"/>
      <c r="W239" s="14"/>
      <c r="X239" s="86"/>
      <c r="Y239" s="59">
        <f ca="1">Table24[[#This Row],[End Date]]+2-TODAY()</f>
        <v>-45816</v>
      </c>
      <c r="Z239" s="14">
        <f>IF(ISBLANK(Table24[[#This Row],[Roster Received By]]),1,0)</f>
        <v>1</v>
      </c>
      <c r="AA239" s="14">
        <f ca="1">IF(Table24[[#This Row],[Start Date]]&gt;TODAY(),1,)</f>
        <v>0</v>
      </c>
    </row>
    <row r="240" spans="1:27" s="52" customFormat="1" x14ac:dyDescent="0.25">
      <c r="B240" s="103"/>
      <c r="C240" s="87" t="e">
        <v>#N/A</v>
      </c>
      <c r="D240" s="87" t="e">
        <v>#N/A</v>
      </c>
      <c r="E240" s="86"/>
      <c r="F240" s="89"/>
      <c r="G240" s="89"/>
      <c r="H240" s="92"/>
      <c r="I240" s="92"/>
      <c r="J240" s="89"/>
      <c r="K240" s="89"/>
      <c r="L240" s="89"/>
      <c r="M240" s="89"/>
      <c r="N240" s="89"/>
      <c r="O240" s="86"/>
      <c r="P240" s="86"/>
      <c r="Q240" s="14" t="e">
        <v>#N/A</v>
      </c>
      <c r="R240" s="14" t="e">
        <v>#N/A</v>
      </c>
      <c r="S240" s="14"/>
      <c r="T240" s="90"/>
      <c r="U240" s="14"/>
      <c r="V240" s="14"/>
      <c r="W240" s="14"/>
      <c r="X240" s="86"/>
      <c r="Y240" s="59">
        <f ca="1">Table24[[#This Row],[End Date]]+2-TODAY()</f>
        <v>-45816</v>
      </c>
      <c r="Z240" s="14">
        <f>IF(ISBLANK(Table24[[#This Row],[Roster Received By]]),1,0)</f>
        <v>1</v>
      </c>
      <c r="AA240" s="14">
        <f ca="1">IF(Table24[[#This Row],[Start Date]]&gt;TODAY(),1,)</f>
        <v>0</v>
      </c>
    </row>
    <row r="241" spans="1:27" s="52" customFormat="1" x14ac:dyDescent="0.25">
      <c r="B241" s="103"/>
      <c r="C241" s="87" t="e">
        <v>#N/A</v>
      </c>
      <c r="D241" s="87" t="e">
        <v>#N/A</v>
      </c>
      <c r="E241" s="86"/>
      <c r="F241" s="89"/>
      <c r="G241" s="89"/>
      <c r="H241" s="89"/>
      <c r="I241" s="88"/>
      <c r="J241" s="88"/>
      <c r="K241" s="88"/>
      <c r="L241" s="88"/>
      <c r="M241" s="88"/>
      <c r="N241" s="88"/>
      <c r="O241" s="86"/>
      <c r="P241" s="86"/>
      <c r="Q241" s="14" t="e">
        <v>#N/A</v>
      </c>
      <c r="R241" s="14" t="e">
        <v>#N/A</v>
      </c>
      <c r="S241" s="14"/>
      <c r="T241" s="90"/>
      <c r="U241" s="14"/>
      <c r="V241" s="14"/>
      <c r="W241" s="14"/>
      <c r="X241" s="86"/>
      <c r="Y241" s="59">
        <f ca="1">Table24[[#This Row],[End Date]]+2-TODAY()</f>
        <v>-45816</v>
      </c>
      <c r="Z241" s="14">
        <f>IF(ISBLANK(Table24[[#This Row],[Roster Received By]]),1,0)</f>
        <v>1</v>
      </c>
      <c r="AA241" s="14">
        <f ca="1">IF(Table24[[#This Row],[Start Date]]&gt;TODAY(),1,)</f>
        <v>0</v>
      </c>
    </row>
    <row r="242" spans="1:27" s="52" customFormat="1" x14ac:dyDescent="0.25">
      <c r="B242" s="86"/>
      <c r="C242" s="87" t="e">
        <v>#N/A</v>
      </c>
      <c r="D242" s="87" t="e">
        <v>#N/A</v>
      </c>
      <c r="E242" s="86"/>
      <c r="F242" s="89"/>
      <c r="G242" s="89"/>
      <c r="H242" s="95"/>
      <c r="I242" s="95"/>
      <c r="J242" s="89"/>
      <c r="K242" s="89"/>
      <c r="L242" s="89"/>
      <c r="M242" s="89"/>
      <c r="N242" s="89"/>
      <c r="O242" s="86"/>
      <c r="P242" s="86"/>
      <c r="Q242" s="14" t="e">
        <v>#N/A</v>
      </c>
      <c r="R242" s="14" t="e">
        <v>#N/A</v>
      </c>
      <c r="S242" s="14"/>
      <c r="T242" s="90"/>
      <c r="U242" s="14"/>
      <c r="V242" s="14"/>
      <c r="W242" s="14"/>
      <c r="X242" s="86"/>
      <c r="Y242" s="59">
        <f ca="1">Table24[[#This Row],[End Date]]+2-TODAY()</f>
        <v>-45816</v>
      </c>
      <c r="Z242" s="14">
        <f>IF(ISBLANK(Table24[[#This Row],[Roster Received By]]),1,0)</f>
        <v>1</v>
      </c>
      <c r="AA242" s="14">
        <f ca="1">IF(Table24[[#This Row],[Start Date]]&gt;TODAY(),1,)</f>
        <v>0</v>
      </c>
    </row>
    <row r="243" spans="1:27" s="52" customFormat="1" x14ac:dyDescent="0.25">
      <c r="B243" s="86"/>
      <c r="C243" s="87" t="e">
        <v>#N/A</v>
      </c>
      <c r="D243" s="87" t="e">
        <v>#N/A</v>
      </c>
      <c r="E243" s="86"/>
      <c r="F243" s="89"/>
      <c r="G243" s="89"/>
      <c r="H243" s="89"/>
      <c r="I243" s="88"/>
      <c r="J243" s="88"/>
      <c r="K243" s="88"/>
      <c r="L243" s="88"/>
      <c r="M243" s="88"/>
      <c r="N243" s="88"/>
      <c r="O243" s="86"/>
      <c r="P243" s="86"/>
      <c r="Q243" s="14" t="e">
        <v>#N/A</v>
      </c>
      <c r="R243" s="14" t="e">
        <v>#N/A</v>
      </c>
      <c r="S243" s="14"/>
      <c r="T243" s="90"/>
      <c r="U243" s="14"/>
      <c r="V243" s="14"/>
      <c r="W243" s="14"/>
      <c r="X243" s="86"/>
      <c r="Y243" s="59">
        <f ca="1">Table24[[#This Row],[End Date]]+2-TODAY()</f>
        <v>-45816</v>
      </c>
      <c r="Z243" s="14">
        <f>IF(ISBLANK(Table24[[#This Row],[Roster Received By]]),1,0)</f>
        <v>1</v>
      </c>
      <c r="AA243" s="14">
        <f ca="1">IF(Table24[[#This Row],[Start Date]]&gt;TODAY(),1,)</f>
        <v>0</v>
      </c>
    </row>
    <row r="244" spans="1:27" s="52" customFormat="1" x14ac:dyDescent="0.25">
      <c r="B244" s="113"/>
      <c r="C244" s="87" t="e">
        <v>#N/A</v>
      </c>
      <c r="D244" s="87" t="e">
        <v>#N/A</v>
      </c>
      <c r="E244" s="86"/>
      <c r="F244" s="89"/>
      <c r="G244" s="89"/>
      <c r="H244" s="89"/>
      <c r="I244" s="88"/>
      <c r="J244" s="88"/>
      <c r="K244" s="88"/>
      <c r="L244" s="88"/>
      <c r="M244" s="88"/>
      <c r="N244" s="88"/>
      <c r="O244" s="86"/>
      <c r="P244" s="86"/>
      <c r="Q244" s="14" t="e">
        <v>#N/A</v>
      </c>
      <c r="R244" s="14" t="e">
        <v>#N/A</v>
      </c>
      <c r="S244" s="14"/>
      <c r="T244" s="90"/>
      <c r="U244" s="14"/>
      <c r="V244" s="14"/>
      <c r="W244" s="87"/>
      <c r="X244" s="86"/>
      <c r="Y244" s="59">
        <f ca="1">Table24[[#This Row],[End Date]]+2-TODAY()</f>
        <v>-45816</v>
      </c>
      <c r="Z244" s="14">
        <f>IF(ISBLANK(Table24[[#This Row],[Roster Received By]]),1,0)</f>
        <v>1</v>
      </c>
      <c r="AA244" s="14">
        <f ca="1">IF(Table24[[#This Row],[Start Date]]&gt;TODAY(),1,)</f>
        <v>0</v>
      </c>
    </row>
    <row r="245" spans="1:27" s="52" customFormat="1" x14ac:dyDescent="0.25">
      <c r="B245" s="103"/>
      <c r="C245" s="87" t="e">
        <v>#N/A</v>
      </c>
      <c r="D245" s="87" t="e">
        <v>#N/A</v>
      </c>
      <c r="E245" s="86"/>
      <c r="F245" s="89"/>
      <c r="G245" s="89"/>
      <c r="H245" s="89"/>
      <c r="I245" s="88"/>
      <c r="J245" s="88"/>
      <c r="K245" s="88"/>
      <c r="L245" s="88"/>
      <c r="M245" s="88"/>
      <c r="N245" s="88"/>
      <c r="O245" s="86"/>
      <c r="P245" s="86"/>
      <c r="Q245" s="14" t="e">
        <v>#N/A</v>
      </c>
      <c r="R245" s="14" t="e">
        <v>#N/A</v>
      </c>
      <c r="S245" s="14"/>
      <c r="T245" s="90"/>
      <c r="U245" s="14"/>
      <c r="V245" s="14"/>
      <c r="W245" s="14"/>
      <c r="X245" s="86"/>
      <c r="Y245" s="59">
        <f ca="1">Table24[[#This Row],[End Date]]+2-TODAY()</f>
        <v>-45816</v>
      </c>
      <c r="Z245" s="14">
        <f>IF(ISBLANK(Table24[[#This Row],[Roster Received By]]),1,0)</f>
        <v>1</v>
      </c>
      <c r="AA245" s="14">
        <f ca="1">IF(Table24[[#This Row],[Start Date]]&gt;TODAY(),1,)</f>
        <v>0</v>
      </c>
    </row>
    <row r="246" spans="1:27" s="52" customFormat="1" x14ac:dyDescent="0.25">
      <c r="B246" s="103"/>
      <c r="C246" s="87" t="e">
        <v>#N/A</v>
      </c>
      <c r="D246" s="87" t="e">
        <v>#N/A</v>
      </c>
      <c r="E246" s="86"/>
      <c r="F246" s="89"/>
      <c r="G246" s="89"/>
      <c r="H246" s="92"/>
      <c r="I246" s="92"/>
      <c r="J246" s="92"/>
      <c r="K246" s="92"/>
      <c r="L246" s="92"/>
      <c r="M246" s="92"/>
      <c r="N246" s="89"/>
      <c r="O246" s="86"/>
      <c r="P246" s="86"/>
      <c r="Q246" s="14" t="e">
        <v>#N/A</v>
      </c>
      <c r="R246" s="14" t="e">
        <v>#N/A</v>
      </c>
      <c r="S246" s="14"/>
      <c r="T246" s="90"/>
      <c r="U246" s="14"/>
      <c r="V246" s="14"/>
      <c r="W246" s="14"/>
      <c r="X246" s="86"/>
      <c r="Y246" s="59">
        <f ca="1">Table24[[#This Row],[End Date]]+2-TODAY()</f>
        <v>-45816</v>
      </c>
      <c r="Z246" s="14">
        <f>IF(ISBLANK(Table24[[#This Row],[Roster Received By]]),1,0)</f>
        <v>1</v>
      </c>
      <c r="AA246" s="14">
        <f ca="1">IF(Table24[[#This Row],[Start Date]]&gt;TODAY(),1,)</f>
        <v>0</v>
      </c>
    </row>
    <row r="247" spans="1:27" s="52" customFormat="1" x14ac:dyDescent="0.25">
      <c r="B247" s="103"/>
      <c r="C247" s="87" t="e">
        <v>#N/A</v>
      </c>
      <c r="D247" s="87" t="e">
        <v>#N/A</v>
      </c>
      <c r="E247" s="103"/>
      <c r="F247" s="85"/>
      <c r="G247" s="97"/>
      <c r="H247" s="89"/>
      <c r="I247" s="88"/>
      <c r="J247" s="88"/>
      <c r="K247" s="88"/>
      <c r="L247" s="88"/>
      <c r="M247" s="88"/>
      <c r="N247" s="88"/>
      <c r="O247" s="86"/>
      <c r="P247" s="86"/>
      <c r="Q247" s="14" t="e">
        <v>#N/A</v>
      </c>
      <c r="R247" s="14" t="e">
        <v>#N/A</v>
      </c>
      <c r="S247" s="14"/>
      <c r="T247" s="90"/>
      <c r="U247" s="14"/>
      <c r="V247" s="14"/>
      <c r="W247" s="14"/>
      <c r="X247" s="86"/>
      <c r="Y247" s="59">
        <f ca="1">Table24[[#This Row],[End Date]]+2-TODAY()</f>
        <v>-45816</v>
      </c>
      <c r="Z247" s="14">
        <f>IF(ISBLANK(Table24[[#This Row],[Roster Received By]]),1,0)</f>
        <v>1</v>
      </c>
      <c r="AA247" s="14">
        <f ca="1">IF(Table24[[#This Row],[Start Date]]&gt;TODAY(),1,)</f>
        <v>0</v>
      </c>
    </row>
    <row r="248" spans="1:27" s="52" customFormat="1" x14ac:dyDescent="0.25">
      <c r="B248" s="86"/>
      <c r="C248" s="87" t="e">
        <v>#N/A</v>
      </c>
      <c r="D248" s="87" t="e">
        <v>#N/A</v>
      </c>
      <c r="E248" s="86"/>
      <c r="F248" s="89"/>
      <c r="G248" s="89"/>
      <c r="H248" s="92"/>
      <c r="I248" s="92"/>
      <c r="J248" s="89"/>
      <c r="K248" s="89"/>
      <c r="L248" s="89"/>
      <c r="M248" s="89"/>
      <c r="N248" s="89"/>
      <c r="O248" s="86"/>
      <c r="P248" s="86"/>
      <c r="Q248" s="14" t="e">
        <v>#N/A</v>
      </c>
      <c r="R248" s="14" t="e">
        <v>#N/A</v>
      </c>
      <c r="S248" s="14"/>
      <c r="T248" s="90"/>
      <c r="U248" s="14"/>
      <c r="V248" s="14"/>
      <c r="W248" s="14"/>
      <c r="X248" s="86"/>
      <c r="Y248" s="59">
        <f ca="1">Table24[[#This Row],[End Date]]+2-TODAY()</f>
        <v>-45816</v>
      </c>
      <c r="Z248" s="14">
        <f>IF(ISBLANK(Table24[[#This Row],[Roster Received By]]),1,0)</f>
        <v>1</v>
      </c>
      <c r="AA248" s="14">
        <f ca="1">IF(Table24[[#This Row],[Start Date]]&gt;TODAY(),1,)</f>
        <v>0</v>
      </c>
    </row>
    <row r="249" spans="1:27" s="52" customFormat="1" x14ac:dyDescent="0.25">
      <c r="B249" s="103"/>
      <c r="C249" s="87" t="e">
        <v>#N/A</v>
      </c>
      <c r="D249" s="87" t="e">
        <v>#N/A</v>
      </c>
      <c r="E249" s="55"/>
      <c r="F249" s="85"/>
      <c r="G249" s="97"/>
      <c r="H249" s="92"/>
      <c r="I249" s="92"/>
      <c r="J249" s="89"/>
      <c r="K249" s="89"/>
      <c r="L249" s="89"/>
      <c r="M249" s="89"/>
      <c r="N249" s="89"/>
      <c r="O249" s="86"/>
      <c r="P249" s="86"/>
      <c r="Q249" s="14" t="e">
        <v>#N/A</v>
      </c>
      <c r="R249" s="14" t="e">
        <v>#N/A</v>
      </c>
      <c r="S249" s="14"/>
      <c r="T249" s="90"/>
      <c r="U249" s="14"/>
      <c r="V249" s="14"/>
      <c r="W249" s="87"/>
      <c r="X249" s="86"/>
      <c r="Y249" s="59">
        <f ca="1">Table24[[#This Row],[End Date]]+2-TODAY()</f>
        <v>-45816</v>
      </c>
      <c r="Z249" s="14">
        <f>IF(ISBLANK(Table24[[#This Row],[Roster Received By]]),1,0)</f>
        <v>1</v>
      </c>
      <c r="AA249" s="14">
        <f ca="1">IF(Table24[[#This Row],[Start Date]]&gt;TODAY(),1,)</f>
        <v>0</v>
      </c>
    </row>
    <row r="250" spans="1:27" s="52" customFormat="1" x14ac:dyDescent="0.25">
      <c r="B250" s="55"/>
      <c r="C250" s="87" t="e">
        <v>#N/A</v>
      </c>
      <c r="D250" s="87" t="e">
        <v>#N/A</v>
      </c>
      <c r="E250" s="117"/>
      <c r="F250" s="85"/>
      <c r="G250" s="85"/>
      <c r="H250" s="88"/>
      <c r="I250" s="88"/>
      <c r="J250" s="89"/>
      <c r="K250" s="89"/>
      <c r="L250" s="89"/>
      <c r="M250" s="89"/>
      <c r="N250" s="89"/>
      <c r="O250" s="86"/>
      <c r="P250" s="86"/>
      <c r="Q250" s="14" t="e">
        <v>#N/A</v>
      </c>
      <c r="R250" s="14" t="e">
        <v>#N/A</v>
      </c>
      <c r="S250" s="14"/>
      <c r="T250" s="90"/>
      <c r="U250" s="14"/>
      <c r="V250" s="14"/>
      <c r="W250" s="14"/>
      <c r="X250" s="86"/>
      <c r="Y250" s="59">
        <f ca="1">Table24[[#This Row],[End Date]]+2-TODAY()</f>
        <v>-45816</v>
      </c>
      <c r="Z250" s="14">
        <f>IF(ISBLANK(Table24[[#This Row],[Roster Received By]]),1,0)</f>
        <v>1</v>
      </c>
      <c r="AA250" s="14">
        <f ca="1">IF(Table24[[#This Row],[Start Date]]&gt;TODAY(),1,)</f>
        <v>0</v>
      </c>
    </row>
    <row r="251" spans="1:27" s="52" customFormat="1" x14ac:dyDescent="0.25">
      <c r="B251" s="103"/>
      <c r="C251" s="87" t="e">
        <v>#N/A</v>
      </c>
      <c r="D251" s="87" t="e">
        <v>#N/A</v>
      </c>
      <c r="E251" s="103"/>
      <c r="F251" s="97"/>
      <c r="G251" s="97"/>
      <c r="H251" s="89"/>
      <c r="I251" s="88"/>
      <c r="J251" s="88"/>
      <c r="K251" s="88"/>
      <c r="L251" s="88"/>
      <c r="M251" s="88"/>
      <c r="N251" s="88"/>
      <c r="O251" s="86"/>
      <c r="P251" s="86"/>
      <c r="Q251" s="14" t="e">
        <v>#N/A</v>
      </c>
      <c r="R251" s="14" t="e">
        <v>#N/A</v>
      </c>
      <c r="S251" s="14"/>
      <c r="T251" s="90"/>
      <c r="U251" s="14"/>
      <c r="V251" s="14"/>
      <c r="W251" s="14"/>
      <c r="X251" s="86"/>
      <c r="Y251" s="59">
        <f ca="1">Table24[[#This Row],[End Date]]+2-TODAY()</f>
        <v>-45816</v>
      </c>
      <c r="Z251" s="14">
        <f>IF(ISBLANK(Table24[[#This Row],[Roster Received By]]),1,0)</f>
        <v>1</v>
      </c>
      <c r="AA251" s="14">
        <f ca="1">IF(Table24[[#This Row],[Start Date]]&gt;TODAY(),1,)</f>
        <v>0</v>
      </c>
    </row>
    <row r="252" spans="1:27" s="52" customFormat="1" x14ac:dyDescent="0.25">
      <c r="B252" s="103"/>
      <c r="C252" s="87" t="e">
        <v>#N/A</v>
      </c>
      <c r="D252" s="87" t="e">
        <v>#N/A</v>
      </c>
      <c r="E252" s="103"/>
      <c r="F252" s="97"/>
      <c r="G252" s="97"/>
      <c r="H252" s="89"/>
      <c r="I252" s="88"/>
      <c r="J252" s="88"/>
      <c r="K252" s="88"/>
      <c r="L252" s="88"/>
      <c r="M252" s="88"/>
      <c r="N252" s="88"/>
      <c r="O252" s="86"/>
      <c r="P252" s="86"/>
      <c r="Q252" s="14" t="e">
        <v>#N/A</v>
      </c>
      <c r="R252" s="14" t="e">
        <v>#N/A</v>
      </c>
      <c r="S252" s="14"/>
      <c r="T252" s="90"/>
      <c r="U252" s="14"/>
      <c r="V252" s="14"/>
      <c r="W252" s="87"/>
      <c r="X252" s="86"/>
      <c r="Y252" s="59">
        <f ca="1">Table24[[#This Row],[End Date]]+2-TODAY()</f>
        <v>-45816</v>
      </c>
      <c r="Z252" s="14">
        <f>IF(ISBLANK(Table24[[#This Row],[Roster Received By]]),1,0)</f>
        <v>1</v>
      </c>
      <c r="AA252" s="14">
        <f ca="1">IF(Table24[[#This Row],[Start Date]]&gt;TODAY(),1,)</f>
        <v>0</v>
      </c>
    </row>
    <row r="253" spans="1:27" s="52" customFormat="1" x14ac:dyDescent="0.25">
      <c r="B253" s="103"/>
      <c r="C253" s="87" t="e">
        <v>#N/A</v>
      </c>
      <c r="D253" s="87" t="e">
        <v>#N/A</v>
      </c>
      <c r="E253" s="103"/>
      <c r="F253" s="97"/>
      <c r="G253" s="97"/>
      <c r="H253" s="89"/>
      <c r="I253" s="88"/>
      <c r="J253" s="88"/>
      <c r="K253" s="88"/>
      <c r="L253" s="88"/>
      <c r="M253" s="88"/>
      <c r="N253" s="88"/>
      <c r="O253" s="86"/>
      <c r="P253" s="86"/>
      <c r="Q253" s="14" t="e">
        <v>#N/A</v>
      </c>
      <c r="R253" s="14" t="e">
        <v>#N/A</v>
      </c>
      <c r="S253" s="14"/>
      <c r="T253" s="90"/>
      <c r="U253" s="14"/>
      <c r="V253" s="14"/>
      <c r="W253" s="14"/>
      <c r="X253" s="86"/>
      <c r="Y253" s="59">
        <f ca="1">Table24[[#This Row],[End Date]]+2-TODAY()</f>
        <v>-45816</v>
      </c>
      <c r="Z253" s="14">
        <f>IF(ISBLANK(Table24[[#This Row],[Roster Received By]]),1,0)</f>
        <v>1</v>
      </c>
      <c r="AA253" s="14">
        <f ca="1">IF(Table24[[#This Row],[Start Date]]&gt;TODAY(),1,)</f>
        <v>0</v>
      </c>
    </row>
    <row r="254" spans="1:27" s="52" customFormat="1" x14ac:dyDescent="0.25">
      <c r="A254" s="54"/>
      <c r="B254" s="103"/>
      <c r="C254" s="87" t="e">
        <v>#N/A</v>
      </c>
      <c r="D254" s="87" t="e">
        <v>#N/A</v>
      </c>
      <c r="E254" s="103"/>
      <c r="F254" s="97"/>
      <c r="G254" s="97"/>
      <c r="H254" s="89"/>
      <c r="I254" s="88"/>
      <c r="J254" s="88"/>
      <c r="K254" s="88"/>
      <c r="L254" s="88"/>
      <c r="M254" s="88"/>
      <c r="N254" s="88"/>
      <c r="O254" s="86"/>
      <c r="P254" s="86"/>
      <c r="Q254" s="14" t="e">
        <v>#N/A</v>
      </c>
      <c r="R254" s="14" t="e">
        <v>#N/A</v>
      </c>
      <c r="S254" s="14"/>
      <c r="T254" s="90"/>
      <c r="U254" s="14"/>
      <c r="V254" s="14"/>
      <c r="W254" s="14"/>
      <c r="X254" s="86"/>
      <c r="Y254" s="59">
        <f ca="1">Table24[[#This Row],[End Date]]+2-TODAY()</f>
        <v>-45816</v>
      </c>
      <c r="Z254" s="14">
        <f>IF(ISBLANK(Table24[[#This Row],[Roster Received By]]),1,0)</f>
        <v>1</v>
      </c>
      <c r="AA254" s="14">
        <f ca="1">IF(Table24[[#This Row],[Start Date]]&gt;TODAY(),1,)</f>
        <v>0</v>
      </c>
    </row>
    <row r="255" spans="1:27" s="52" customFormat="1" x14ac:dyDescent="0.25">
      <c r="B255" s="103"/>
      <c r="C255" s="87" t="e">
        <v>#N/A</v>
      </c>
      <c r="D255" s="87" t="e">
        <v>#N/A</v>
      </c>
      <c r="E255" s="103"/>
      <c r="F255" s="97"/>
      <c r="G255" s="97"/>
      <c r="H255" s="95"/>
      <c r="I255" s="95"/>
      <c r="J255" s="89"/>
      <c r="K255" s="89"/>
      <c r="L255" s="89"/>
      <c r="M255" s="89"/>
      <c r="N255" s="89"/>
      <c r="O255" s="86"/>
      <c r="P255" s="86"/>
      <c r="Q255" s="14" t="e">
        <v>#N/A</v>
      </c>
      <c r="R255" s="14" t="e">
        <v>#N/A</v>
      </c>
      <c r="S255" s="14"/>
      <c r="T255" s="90"/>
      <c r="U255" s="14"/>
      <c r="V255" s="14"/>
      <c r="W255" s="14"/>
      <c r="X255" s="86"/>
      <c r="Y255" s="59">
        <f ca="1">Table24[[#This Row],[End Date]]+2-TODAY()</f>
        <v>-45816</v>
      </c>
      <c r="Z255" s="14">
        <f>IF(ISBLANK(Table24[[#This Row],[Roster Received By]]),1,0)</f>
        <v>1</v>
      </c>
      <c r="AA255" s="14">
        <f ca="1">IF(Table24[[#This Row],[Start Date]]&gt;TODAY(),1,)</f>
        <v>0</v>
      </c>
    </row>
    <row r="256" spans="1:27" s="52" customFormat="1" x14ac:dyDescent="0.25">
      <c r="B256" s="103"/>
      <c r="C256" s="87" t="e">
        <v>#N/A</v>
      </c>
      <c r="D256" s="87" t="e">
        <v>#N/A</v>
      </c>
      <c r="E256" s="103"/>
      <c r="F256" s="97"/>
      <c r="G256" s="97"/>
      <c r="H256" s="88"/>
      <c r="I256" s="92"/>
      <c r="J256" s="89"/>
      <c r="K256" s="89"/>
      <c r="L256" s="89"/>
      <c r="M256" s="89"/>
      <c r="N256" s="89"/>
      <c r="O256" s="86"/>
      <c r="P256" s="86"/>
      <c r="Q256" s="14" t="e">
        <v>#N/A</v>
      </c>
      <c r="R256" s="14" t="e">
        <v>#N/A</v>
      </c>
      <c r="S256" s="90"/>
      <c r="T256" s="90"/>
      <c r="U256" s="14"/>
      <c r="V256" s="14"/>
      <c r="W256" s="14"/>
      <c r="X256" s="86"/>
      <c r="Y256" s="59">
        <f ca="1">Table24[[#This Row],[End Date]]+2-TODAY()</f>
        <v>-45816</v>
      </c>
      <c r="Z256" s="14">
        <f>IF(ISBLANK(Table24[[#This Row],[Roster Received By]]),1,0)</f>
        <v>1</v>
      </c>
      <c r="AA256" s="14">
        <f ca="1">IF(Table24[[#This Row],[Start Date]]&gt;TODAY(),1,)</f>
        <v>0</v>
      </c>
    </row>
    <row r="257" spans="1:27" s="52" customFormat="1" x14ac:dyDescent="0.25">
      <c r="B257" s="103"/>
      <c r="C257" s="87" t="e">
        <v>#N/A</v>
      </c>
      <c r="D257" s="87" t="e">
        <v>#N/A</v>
      </c>
      <c r="E257" s="103"/>
      <c r="F257" s="97"/>
      <c r="G257" s="97"/>
      <c r="H257" s="92"/>
      <c r="I257" s="92"/>
      <c r="J257" s="92"/>
      <c r="K257" s="92"/>
      <c r="L257" s="92"/>
      <c r="M257" s="92"/>
      <c r="N257" s="92"/>
      <c r="O257" s="86"/>
      <c r="P257" s="86"/>
      <c r="Q257" s="14" t="e">
        <v>#N/A</v>
      </c>
      <c r="R257" s="14" t="e">
        <v>#N/A</v>
      </c>
      <c r="S257" s="90"/>
      <c r="T257" s="90"/>
      <c r="U257" s="14"/>
      <c r="V257" s="14"/>
      <c r="W257" s="14"/>
      <c r="X257" s="86"/>
      <c r="Y257" s="59">
        <f ca="1">Table24[[#This Row],[End Date]]+2-TODAY()</f>
        <v>-45816</v>
      </c>
      <c r="Z257" s="14">
        <f>IF(ISBLANK(Table24[[#This Row],[Roster Received By]]),1,0)</f>
        <v>1</v>
      </c>
      <c r="AA257" s="14">
        <f ca="1">IF(Table24[[#This Row],[Start Date]]&gt;TODAY(),1,)</f>
        <v>0</v>
      </c>
    </row>
    <row r="258" spans="1:27" s="52" customFormat="1" x14ac:dyDescent="0.25">
      <c r="B258" s="103"/>
      <c r="C258" s="87" t="e">
        <v>#N/A</v>
      </c>
      <c r="D258" s="87" t="e">
        <v>#N/A</v>
      </c>
      <c r="E258" s="117"/>
      <c r="F258" s="85"/>
      <c r="G258" s="85"/>
      <c r="H258" s="88"/>
      <c r="I258" s="88"/>
      <c r="J258" s="89"/>
      <c r="K258" s="89"/>
      <c r="L258" s="89"/>
      <c r="M258" s="89"/>
      <c r="N258" s="89"/>
      <c r="O258" s="86"/>
      <c r="P258" s="86"/>
      <c r="Q258" s="14" t="e">
        <v>#N/A</v>
      </c>
      <c r="R258" s="14" t="e">
        <v>#N/A</v>
      </c>
      <c r="S258" s="14"/>
      <c r="T258" s="90"/>
      <c r="U258" s="14"/>
      <c r="V258" s="14"/>
      <c r="W258" s="90"/>
      <c r="X258" s="86"/>
      <c r="Y258" s="59">
        <f ca="1">Table24[[#This Row],[End Date]]+2-TODAY()</f>
        <v>-45816</v>
      </c>
      <c r="Z258" s="14">
        <f>IF(ISBLANK(Table24[[#This Row],[Roster Received By]]),1,0)</f>
        <v>1</v>
      </c>
      <c r="AA258" s="14">
        <f ca="1">IF(Table24[[#This Row],[Start Date]]&gt;TODAY(),1,)</f>
        <v>0</v>
      </c>
    </row>
    <row r="259" spans="1:27" s="52" customFormat="1" x14ac:dyDescent="0.25">
      <c r="B259" s="103"/>
      <c r="C259" s="87" t="e">
        <v>#N/A</v>
      </c>
      <c r="D259" s="87" t="e">
        <v>#N/A</v>
      </c>
      <c r="E259" s="86"/>
      <c r="F259" s="89"/>
      <c r="G259" s="89"/>
      <c r="H259" s="92"/>
      <c r="I259" s="92"/>
      <c r="J259" s="92"/>
      <c r="K259" s="92"/>
      <c r="L259" s="92"/>
      <c r="M259" s="92"/>
      <c r="N259" s="92"/>
      <c r="O259" s="86"/>
      <c r="P259" s="86"/>
      <c r="Q259" s="14" t="e">
        <v>#N/A</v>
      </c>
      <c r="R259" s="14" t="e">
        <v>#N/A</v>
      </c>
      <c r="S259" s="14"/>
      <c r="T259" s="90"/>
      <c r="U259" s="14"/>
      <c r="V259" s="14"/>
      <c r="W259" s="14"/>
      <c r="X259" s="86"/>
      <c r="Y259" s="59">
        <f ca="1">Table24[[#This Row],[End Date]]+2-TODAY()</f>
        <v>-45816</v>
      </c>
      <c r="Z259" s="14">
        <f>IF(ISBLANK(Table24[[#This Row],[Roster Received By]]),1,0)</f>
        <v>1</v>
      </c>
      <c r="AA259" s="14">
        <f ca="1">IF(Table24[[#This Row],[Start Date]]&gt;TODAY(),1,)</f>
        <v>0</v>
      </c>
    </row>
    <row r="260" spans="1:27" s="52" customFormat="1" x14ac:dyDescent="0.25">
      <c r="B260" s="104"/>
      <c r="C260" s="87" t="e">
        <v>#N/A</v>
      </c>
      <c r="D260" s="87" t="e">
        <v>#N/A</v>
      </c>
      <c r="E260" s="86"/>
      <c r="F260" s="89"/>
      <c r="G260" s="89"/>
      <c r="H260" s="89"/>
      <c r="I260" s="88"/>
      <c r="J260" s="88"/>
      <c r="K260" s="88"/>
      <c r="L260" s="88"/>
      <c r="M260" s="88"/>
      <c r="N260" s="88"/>
      <c r="O260" s="86"/>
      <c r="P260" s="86"/>
      <c r="Q260" s="14" t="e">
        <v>#N/A</v>
      </c>
      <c r="R260" s="14" t="e">
        <v>#N/A</v>
      </c>
      <c r="S260" s="14"/>
      <c r="T260" s="90"/>
      <c r="U260" s="14"/>
      <c r="V260" s="14"/>
      <c r="W260" s="14"/>
      <c r="X260" s="86"/>
      <c r="Y260" s="59">
        <f ca="1">Table24[[#This Row],[End Date]]+2-TODAY()</f>
        <v>-45816</v>
      </c>
      <c r="Z260" s="14">
        <f>IF(ISBLANK(Table24[[#This Row],[Roster Received By]]),1,0)</f>
        <v>1</v>
      </c>
      <c r="AA260" s="14">
        <f ca="1">IF(Table24[[#This Row],[Start Date]]&gt;TODAY(),1,)</f>
        <v>0</v>
      </c>
    </row>
    <row r="261" spans="1:27" s="52" customFormat="1" x14ac:dyDescent="0.25">
      <c r="B261" s="104"/>
      <c r="C261" s="87" t="e">
        <v>#N/A</v>
      </c>
      <c r="D261" s="87" t="e">
        <v>#N/A</v>
      </c>
      <c r="E261" s="86"/>
      <c r="F261" s="89"/>
      <c r="G261" s="89"/>
      <c r="H261" s="89"/>
      <c r="I261" s="88"/>
      <c r="J261" s="88"/>
      <c r="K261" s="88"/>
      <c r="L261" s="88"/>
      <c r="M261" s="88"/>
      <c r="N261" s="88"/>
      <c r="O261" s="86"/>
      <c r="P261" s="86"/>
      <c r="Q261" s="14" t="e">
        <v>#N/A</v>
      </c>
      <c r="R261" s="14" t="e">
        <v>#N/A</v>
      </c>
      <c r="S261" s="14"/>
      <c r="T261" s="90"/>
      <c r="U261" s="14"/>
      <c r="V261" s="14"/>
      <c r="W261" s="14"/>
      <c r="X261" s="86"/>
      <c r="Y261" s="59">
        <f ca="1">Table24[[#This Row],[End Date]]+2-TODAY()</f>
        <v>-45816</v>
      </c>
      <c r="Z261" s="14">
        <f>IF(ISBLANK(Table24[[#This Row],[Roster Received By]]),1,0)</f>
        <v>1</v>
      </c>
      <c r="AA261" s="14">
        <f ca="1">IF(Table24[[#This Row],[Start Date]]&gt;TODAY(),1,)</f>
        <v>0</v>
      </c>
    </row>
    <row r="262" spans="1:27" s="52" customFormat="1" x14ac:dyDescent="0.25">
      <c r="B262" s="103"/>
      <c r="C262" s="87" t="e">
        <v>#N/A</v>
      </c>
      <c r="D262" s="87" t="e">
        <v>#N/A</v>
      </c>
      <c r="E262" s="86"/>
      <c r="F262" s="89"/>
      <c r="G262" s="89"/>
      <c r="H262" s="89"/>
      <c r="I262" s="88"/>
      <c r="J262" s="88"/>
      <c r="K262" s="88"/>
      <c r="L262" s="88"/>
      <c r="M262" s="88"/>
      <c r="N262" s="88"/>
      <c r="O262" s="86"/>
      <c r="P262" s="86"/>
      <c r="Q262" s="14" t="e">
        <v>#N/A</v>
      </c>
      <c r="R262" s="14" t="e">
        <v>#N/A</v>
      </c>
      <c r="S262" s="14"/>
      <c r="T262" s="90"/>
      <c r="U262" s="14"/>
      <c r="V262" s="14"/>
      <c r="W262" s="14"/>
      <c r="X262" s="86"/>
      <c r="Y262" s="59">
        <f ca="1">Table24[[#This Row],[End Date]]+2-TODAY()</f>
        <v>-45816</v>
      </c>
      <c r="Z262" s="14">
        <f>IF(ISBLANK(Table24[[#This Row],[Roster Received By]]),1,0)</f>
        <v>1</v>
      </c>
      <c r="AA262" s="14">
        <f ca="1">IF(Table24[[#This Row],[Start Date]]&gt;TODAY(),1,)</f>
        <v>0</v>
      </c>
    </row>
    <row r="263" spans="1:27" s="52" customFormat="1" x14ac:dyDescent="0.25">
      <c r="B263" s="103"/>
      <c r="C263" s="87" t="e">
        <v>#N/A</v>
      </c>
      <c r="D263" s="87" t="e">
        <v>#N/A</v>
      </c>
      <c r="E263" s="86"/>
      <c r="F263" s="89"/>
      <c r="G263" s="89"/>
      <c r="H263" s="89"/>
      <c r="I263" s="88"/>
      <c r="J263" s="88"/>
      <c r="K263" s="88"/>
      <c r="L263" s="88"/>
      <c r="M263" s="88"/>
      <c r="N263" s="88"/>
      <c r="O263" s="86"/>
      <c r="P263" s="86"/>
      <c r="Q263" s="14" t="e">
        <v>#N/A</v>
      </c>
      <c r="R263" s="14" t="e">
        <v>#N/A</v>
      </c>
      <c r="S263" s="14"/>
      <c r="T263" s="90"/>
      <c r="U263" s="14"/>
      <c r="V263" s="14"/>
      <c r="W263" s="14"/>
      <c r="X263" s="86"/>
      <c r="Y263" s="59">
        <f ca="1">Table24[[#This Row],[End Date]]+2-TODAY()</f>
        <v>-45816</v>
      </c>
      <c r="Z263" s="14">
        <f>IF(ISBLANK(Table24[[#This Row],[Roster Received By]]),1,0)</f>
        <v>1</v>
      </c>
      <c r="AA263" s="14">
        <f ca="1">IF(Table24[[#This Row],[Start Date]]&gt;TODAY(),1,)</f>
        <v>0</v>
      </c>
    </row>
    <row r="264" spans="1:27" s="52" customFormat="1" x14ac:dyDescent="0.25">
      <c r="B264" s="103"/>
      <c r="C264" s="87" t="e">
        <v>#N/A</v>
      </c>
      <c r="D264" s="87" t="e">
        <v>#N/A</v>
      </c>
      <c r="E264" s="86"/>
      <c r="F264" s="89"/>
      <c r="G264" s="89"/>
      <c r="H264" s="89"/>
      <c r="I264" s="88"/>
      <c r="J264" s="88"/>
      <c r="K264" s="88"/>
      <c r="L264" s="88"/>
      <c r="M264" s="88"/>
      <c r="N264" s="88"/>
      <c r="O264" s="86"/>
      <c r="P264" s="86"/>
      <c r="Q264" s="14" t="e">
        <v>#N/A</v>
      </c>
      <c r="R264" s="14" t="e">
        <v>#N/A</v>
      </c>
      <c r="S264" s="14"/>
      <c r="T264" s="90"/>
      <c r="U264" s="14"/>
      <c r="V264" s="14"/>
      <c r="W264" s="14"/>
      <c r="X264" s="86"/>
      <c r="Y264" s="59">
        <f ca="1">Table24[[#This Row],[End Date]]+2-TODAY()</f>
        <v>-45816</v>
      </c>
      <c r="Z264" s="14">
        <f>IF(ISBLANK(Table24[[#This Row],[Roster Received By]]),1,0)</f>
        <v>1</v>
      </c>
      <c r="AA264" s="14">
        <f ca="1">IF(Table24[[#This Row],[Start Date]]&gt;TODAY(),1,)</f>
        <v>0</v>
      </c>
    </row>
    <row r="265" spans="1:27" s="52" customFormat="1" x14ac:dyDescent="0.25">
      <c r="B265" s="103"/>
      <c r="C265" s="87" t="e">
        <v>#N/A</v>
      </c>
      <c r="D265" s="87" t="e">
        <v>#N/A</v>
      </c>
      <c r="E265" s="54"/>
      <c r="F265" s="89"/>
      <c r="G265" s="89"/>
      <c r="H265" s="92"/>
      <c r="I265" s="92"/>
      <c r="J265" s="89"/>
      <c r="K265" s="89"/>
      <c r="L265" s="89"/>
      <c r="M265" s="89"/>
      <c r="N265" s="89"/>
      <c r="O265" s="86"/>
      <c r="P265" s="86"/>
      <c r="Q265" s="14" t="e">
        <v>#N/A</v>
      </c>
      <c r="R265" s="14" t="e">
        <v>#N/A</v>
      </c>
      <c r="S265" s="14"/>
      <c r="T265" s="90"/>
      <c r="U265" s="14"/>
      <c r="V265" s="14"/>
      <c r="W265" s="14"/>
      <c r="X265" s="86"/>
      <c r="Y265" s="59">
        <f ca="1">Table24[[#This Row],[End Date]]+2-TODAY()</f>
        <v>-45816</v>
      </c>
      <c r="Z265" s="14">
        <f>IF(ISBLANK(Table24[[#This Row],[Roster Received By]]),1,0)</f>
        <v>1</v>
      </c>
      <c r="AA265" s="14">
        <f ca="1">IF(Table24[[#This Row],[Start Date]]&gt;TODAY(),1,)</f>
        <v>0</v>
      </c>
    </row>
    <row r="266" spans="1:27" s="52" customFormat="1" x14ac:dyDescent="0.25">
      <c r="B266" s="103"/>
      <c r="C266" s="87" t="e">
        <v>#N/A</v>
      </c>
      <c r="D266" s="87" t="e">
        <v>#N/A</v>
      </c>
      <c r="E266" s="86"/>
      <c r="F266" s="89"/>
      <c r="G266" s="89"/>
      <c r="H266" s="89"/>
      <c r="I266" s="88"/>
      <c r="J266" s="88"/>
      <c r="K266" s="88"/>
      <c r="L266" s="88"/>
      <c r="M266" s="88"/>
      <c r="N266" s="88"/>
      <c r="O266" s="86"/>
      <c r="P266" s="86"/>
      <c r="Q266" s="14" t="e">
        <v>#N/A</v>
      </c>
      <c r="R266" s="14" t="e">
        <v>#N/A</v>
      </c>
      <c r="S266" s="14"/>
      <c r="T266" s="90"/>
      <c r="U266" s="14"/>
      <c r="V266" s="14"/>
      <c r="W266" s="14"/>
      <c r="X266" s="86"/>
      <c r="Y266" s="59">
        <f ca="1">Table24[[#This Row],[End Date]]+2-TODAY()</f>
        <v>-45816</v>
      </c>
      <c r="Z266" s="14">
        <f>IF(ISBLANK(Table24[[#This Row],[Roster Received By]]),1,0)</f>
        <v>1</v>
      </c>
      <c r="AA266" s="14">
        <f ca="1">IF(Table24[[#This Row],[Start Date]]&gt;TODAY(),1,)</f>
        <v>0</v>
      </c>
    </row>
    <row r="267" spans="1:27" s="93" customFormat="1" ht="15.75" customHeight="1" x14ac:dyDescent="0.25">
      <c r="A267" s="52"/>
      <c r="B267" s="103"/>
      <c r="C267" s="87" t="e">
        <v>#N/A</v>
      </c>
      <c r="D267" s="87" t="e">
        <v>#N/A</v>
      </c>
      <c r="E267" s="86"/>
      <c r="F267" s="89"/>
      <c r="G267" s="89"/>
      <c r="H267" s="89"/>
      <c r="I267" s="88"/>
      <c r="J267" s="88"/>
      <c r="K267" s="88"/>
      <c r="L267" s="88"/>
      <c r="M267" s="88"/>
      <c r="N267" s="88"/>
      <c r="O267" s="86"/>
      <c r="P267" s="86"/>
      <c r="Q267" s="14" t="e">
        <v>#N/A</v>
      </c>
      <c r="R267" s="14" t="e">
        <v>#N/A</v>
      </c>
      <c r="S267" s="14"/>
      <c r="T267" s="90"/>
      <c r="U267" s="14"/>
      <c r="V267" s="14"/>
      <c r="W267" s="87"/>
      <c r="X267" s="86"/>
      <c r="Y267" s="59">
        <f ca="1">Table24[[#This Row],[End Date]]+2-TODAY()</f>
        <v>-45816</v>
      </c>
      <c r="Z267" s="14">
        <f>IF(ISBLANK(Table24[[#This Row],[Roster Received By]]),1,0)</f>
        <v>1</v>
      </c>
      <c r="AA267" s="14">
        <f ca="1">IF(Table24[[#This Row],[Start Date]]&gt;TODAY(),1,)</f>
        <v>0</v>
      </c>
    </row>
    <row r="268" spans="1:27" s="93" customFormat="1" ht="14.45" customHeight="1" x14ac:dyDescent="0.25">
      <c r="A268" s="52"/>
      <c r="B268" s="103"/>
      <c r="C268" s="87" t="e">
        <v>#N/A</v>
      </c>
      <c r="D268" s="87" t="e">
        <v>#N/A</v>
      </c>
      <c r="E268" s="54"/>
      <c r="F268" s="89"/>
      <c r="G268" s="89"/>
      <c r="H268" s="95"/>
      <c r="I268" s="95"/>
      <c r="J268" s="89"/>
      <c r="K268" s="89"/>
      <c r="L268" s="89"/>
      <c r="M268" s="89"/>
      <c r="N268" s="89"/>
      <c r="O268" s="86"/>
      <c r="P268" s="86"/>
      <c r="Q268" s="14" t="e">
        <v>#N/A</v>
      </c>
      <c r="R268" s="14" t="e">
        <v>#N/A</v>
      </c>
      <c r="S268" s="14"/>
      <c r="T268" s="90"/>
      <c r="U268" s="14"/>
      <c r="V268" s="14"/>
      <c r="W268" s="14"/>
      <c r="X268" s="86"/>
      <c r="Y268" s="59">
        <f ca="1">Table24[[#This Row],[End Date]]+2-TODAY()</f>
        <v>-45816</v>
      </c>
      <c r="Z268" s="14">
        <f>IF(ISBLANK(Table24[[#This Row],[Roster Received By]]),1,0)</f>
        <v>1</v>
      </c>
      <c r="AA268" s="14">
        <f ca="1">IF(Table24[[#This Row],[Start Date]]&gt;TODAY(),1,)</f>
        <v>0</v>
      </c>
    </row>
    <row r="269" spans="1:27" s="93" customFormat="1" ht="15.75" customHeight="1" x14ac:dyDescent="0.25">
      <c r="A269" s="52"/>
      <c r="B269" s="103"/>
      <c r="C269" s="87" t="e">
        <v>#N/A</v>
      </c>
      <c r="D269" s="87" t="e">
        <v>#N/A</v>
      </c>
      <c r="E269" s="98"/>
      <c r="F269" s="56"/>
      <c r="G269" s="56"/>
      <c r="H269" s="95"/>
      <c r="I269" s="95"/>
      <c r="J269" s="89"/>
      <c r="K269" s="89"/>
      <c r="L269" s="89"/>
      <c r="M269" s="89"/>
      <c r="N269" s="89"/>
      <c r="O269" s="86"/>
      <c r="P269" s="86"/>
      <c r="Q269" s="14" t="e">
        <v>#N/A</v>
      </c>
      <c r="R269" s="14" t="e">
        <v>#N/A</v>
      </c>
      <c r="S269" s="14"/>
      <c r="T269" s="90"/>
      <c r="U269" s="14"/>
      <c r="V269" s="14"/>
      <c r="W269" s="14"/>
      <c r="X269" s="86"/>
      <c r="Y269" s="59">
        <f ca="1">Table24[[#This Row],[End Date]]+2-TODAY()</f>
        <v>-45816</v>
      </c>
      <c r="Z269" s="14">
        <f>IF(ISBLANK(Table24[[#This Row],[Roster Received By]]),1,0)</f>
        <v>1</v>
      </c>
      <c r="AA269" s="14">
        <f ca="1">IF(Table24[[#This Row],[Start Date]]&gt;TODAY(),1,)</f>
        <v>0</v>
      </c>
    </row>
    <row r="270" spans="1:27" s="93" customFormat="1" ht="15.75" customHeight="1" x14ac:dyDescent="0.25">
      <c r="A270" s="52"/>
      <c r="B270" s="103"/>
      <c r="C270" s="87" t="e">
        <v>#N/A</v>
      </c>
      <c r="D270" s="87" t="e">
        <v>#N/A</v>
      </c>
      <c r="E270" s="86"/>
      <c r="F270" s="89"/>
      <c r="G270" s="89"/>
      <c r="H270" s="92"/>
      <c r="I270" s="92"/>
      <c r="J270" s="92"/>
      <c r="K270" s="92"/>
      <c r="L270" s="92"/>
      <c r="M270" s="92"/>
      <c r="N270" s="89"/>
      <c r="O270" s="86"/>
      <c r="P270" s="86"/>
      <c r="Q270" s="14" t="e">
        <v>#N/A</v>
      </c>
      <c r="R270" s="14" t="e">
        <v>#N/A</v>
      </c>
      <c r="S270" s="14"/>
      <c r="T270" s="90"/>
      <c r="U270" s="14"/>
      <c r="V270" s="14"/>
      <c r="W270" s="14"/>
      <c r="X270" s="86"/>
      <c r="Y270" s="59">
        <f ca="1">Table24[[#This Row],[End Date]]+2-TODAY()</f>
        <v>-45816</v>
      </c>
      <c r="Z270" s="14">
        <f>IF(ISBLANK(Table24[[#This Row],[Roster Received By]]),1,0)</f>
        <v>1</v>
      </c>
      <c r="AA270" s="14">
        <f ca="1">IF(Table24[[#This Row],[Start Date]]&gt;TODAY(),1,)</f>
        <v>0</v>
      </c>
    </row>
    <row r="271" spans="1:27" s="93" customFormat="1" ht="15.75" customHeight="1" x14ac:dyDescent="0.25">
      <c r="A271" s="54"/>
      <c r="B271" s="103"/>
      <c r="C271" s="87" t="e">
        <v>#N/A</v>
      </c>
      <c r="D271" s="87" t="e">
        <v>#N/A</v>
      </c>
      <c r="E271" s="86"/>
      <c r="F271" s="89"/>
      <c r="G271" s="89"/>
      <c r="H271" s="95"/>
      <c r="I271" s="95"/>
      <c r="J271" s="89"/>
      <c r="K271" s="89"/>
      <c r="L271" s="89"/>
      <c r="M271" s="89"/>
      <c r="N271" s="89"/>
      <c r="O271" s="86"/>
      <c r="P271" s="86"/>
      <c r="Q271" s="14" t="e">
        <v>#N/A</v>
      </c>
      <c r="R271" s="14" t="e">
        <v>#N/A</v>
      </c>
      <c r="S271" s="14"/>
      <c r="T271" s="90"/>
      <c r="U271" s="14"/>
      <c r="V271" s="14"/>
      <c r="W271" s="14"/>
      <c r="X271" s="86"/>
      <c r="Y271" s="59">
        <f ca="1">Table24[[#This Row],[End Date]]+2-TODAY()</f>
        <v>-45816</v>
      </c>
      <c r="Z271" s="14">
        <f>IF(ISBLANK(Table24[[#This Row],[Roster Received By]]),1,0)</f>
        <v>1</v>
      </c>
      <c r="AA271" s="14">
        <f ca="1">IF(Table24[[#This Row],[Start Date]]&gt;TODAY(),1,)</f>
        <v>0</v>
      </c>
    </row>
    <row r="272" spans="1:27" s="93" customFormat="1" ht="15.75" customHeight="1" x14ac:dyDescent="0.25">
      <c r="A272" s="52"/>
      <c r="B272" s="103"/>
      <c r="C272" s="87" t="e">
        <v>#N/A</v>
      </c>
      <c r="D272" s="87" t="e">
        <v>#N/A</v>
      </c>
      <c r="E272" s="54"/>
      <c r="F272" s="89"/>
      <c r="G272" s="89"/>
      <c r="H272" s="92"/>
      <c r="I272" s="92"/>
      <c r="J272" s="89"/>
      <c r="K272" s="89"/>
      <c r="L272" s="89"/>
      <c r="M272" s="89"/>
      <c r="N272" s="89"/>
      <c r="O272" s="86"/>
      <c r="P272" s="86"/>
      <c r="Q272" s="14" t="e">
        <v>#N/A</v>
      </c>
      <c r="R272" s="14" t="e">
        <v>#N/A</v>
      </c>
      <c r="S272" s="14"/>
      <c r="T272" s="90"/>
      <c r="U272" s="14"/>
      <c r="V272" s="14"/>
      <c r="W272" s="14"/>
      <c r="X272" s="86"/>
      <c r="Y272" s="59">
        <f ca="1">Table24[[#This Row],[End Date]]+2-TODAY()</f>
        <v>-45816</v>
      </c>
      <c r="Z272" s="14">
        <f>IF(ISBLANK(Table24[[#This Row],[Roster Received By]]),1,0)</f>
        <v>1</v>
      </c>
      <c r="AA272" s="14">
        <f ca="1">IF(Table24[[#This Row],[Start Date]]&gt;TODAY(),1,)</f>
        <v>0</v>
      </c>
    </row>
    <row r="273" spans="1:27" s="93" customFormat="1" ht="15.75" customHeight="1" x14ac:dyDescent="0.25">
      <c r="A273" s="86"/>
      <c r="B273" s="103"/>
      <c r="C273" s="87" t="e">
        <v>#N/A</v>
      </c>
      <c r="D273" s="87" t="e">
        <v>#N/A</v>
      </c>
      <c r="E273" s="86"/>
      <c r="F273" s="89"/>
      <c r="G273" s="89"/>
      <c r="H273" s="92"/>
      <c r="I273" s="92"/>
      <c r="J273" s="89"/>
      <c r="K273" s="89"/>
      <c r="L273" s="89"/>
      <c r="M273" s="89"/>
      <c r="N273" s="89"/>
      <c r="O273" s="86"/>
      <c r="P273" s="86"/>
      <c r="Q273" s="14" t="e">
        <v>#N/A</v>
      </c>
      <c r="R273" s="14" t="e">
        <v>#N/A</v>
      </c>
      <c r="S273" s="14"/>
      <c r="T273" s="90"/>
      <c r="U273" s="14"/>
      <c r="V273" s="14"/>
      <c r="W273" s="14"/>
      <c r="X273" s="86"/>
      <c r="Y273" s="59">
        <f ca="1">Table24[[#This Row],[End Date]]+2-TODAY()</f>
        <v>-45816</v>
      </c>
      <c r="Z273" s="14">
        <f>IF(ISBLANK(Table24[[#This Row],[Roster Received By]]),1,0)</f>
        <v>1</v>
      </c>
      <c r="AA273" s="14">
        <f ca="1">IF(Table24[[#This Row],[Start Date]]&gt;TODAY(),1,)</f>
        <v>0</v>
      </c>
    </row>
    <row r="274" spans="1:27" s="93" customFormat="1" ht="15.75" customHeight="1" x14ac:dyDescent="0.25">
      <c r="A274" s="52"/>
      <c r="B274" s="103"/>
      <c r="C274" s="87" t="e">
        <v>#N/A</v>
      </c>
      <c r="D274" s="87" t="e">
        <v>#N/A</v>
      </c>
      <c r="E274" s="54"/>
      <c r="F274" s="89"/>
      <c r="G274" s="89"/>
      <c r="H274" s="92"/>
      <c r="I274" s="88"/>
      <c r="J274" s="88"/>
      <c r="K274" s="88"/>
      <c r="L274" s="88"/>
      <c r="M274" s="88"/>
      <c r="N274" s="88"/>
      <c r="O274" s="86"/>
      <c r="P274" s="86"/>
      <c r="Q274" s="14" t="e">
        <v>#N/A</v>
      </c>
      <c r="R274" s="14" t="e">
        <v>#N/A</v>
      </c>
      <c r="S274" s="14"/>
      <c r="T274" s="90"/>
      <c r="U274" s="14"/>
      <c r="V274" s="14"/>
      <c r="W274" s="14"/>
      <c r="X274" s="86"/>
      <c r="Y274" s="59">
        <f ca="1">Table24[[#This Row],[End Date]]+2-TODAY()</f>
        <v>-45816</v>
      </c>
      <c r="Z274" s="14">
        <f>IF(ISBLANK(Table24[[#This Row],[Roster Received By]]),1,0)</f>
        <v>1</v>
      </c>
      <c r="AA274" s="14">
        <f ca="1">IF(Table24[[#This Row],[Start Date]]&gt;TODAY(),1,)</f>
        <v>0</v>
      </c>
    </row>
    <row r="275" spans="1:27" s="93" customFormat="1" ht="15.75" customHeight="1" x14ac:dyDescent="0.25">
      <c r="A275" s="86"/>
      <c r="B275" s="103"/>
      <c r="C275" s="87" t="e">
        <v>#N/A</v>
      </c>
      <c r="D275" s="87" t="e">
        <v>#N/A</v>
      </c>
      <c r="E275" s="86"/>
      <c r="F275" s="89"/>
      <c r="G275" s="89"/>
      <c r="H275" s="92"/>
      <c r="I275" s="92"/>
      <c r="J275" s="89"/>
      <c r="K275" s="89"/>
      <c r="L275" s="89"/>
      <c r="M275" s="89"/>
      <c r="N275" s="89"/>
      <c r="O275" s="86"/>
      <c r="P275" s="86"/>
      <c r="Q275" s="14" t="e">
        <v>#N/A</v>
      </c>
      <c r="R275" s="14" t="e">
        <v>#N/A</v>
      </c>
      <c r="S275" s="14"/>
      <c r="T275" s="90"/>
      <c r="U275" s="14"/>
      <c r="V275" s="14"/>
      <c r="W275" s="87"/>
      <c r="X275" s="86"/>
      <c r="Y275" s="59">
        <f ca="1">Table24[[#This Row],[End Date]]+2-TODAY()</f>
        <v>-45816</v>
      </c>
      <c r="Z275" s="14">
        <f>IF(ISBLANK(Table24[[#This Row],[Roster Received By]]),1,0)</f>
        <v>1</v>
      </c>
      <c r="AA275" s="14">
        <f ca="1">IF(Table24[[#This Row],[Start Date]]&gt;TODAY(),1,)</f>
        <v>0</v>
      </c>
    </row>
    <row r="276" spans="1:27" s="93" customFormat="1" ht="15.75" customHeight="1" x14ac:dyDescent="0.25">
      <c r="A276" s="52"/>
      <c r="B276" s="103"/>
      <c r="C276" s="87" t="e">
        <v>#N/A</v>
      </c>
      <c r="D276" s="87" t="e">
        <v>#N/A</v>
      </c>
      <c r="E276" s="54"/>
      <c r="F276" s="56"/>
      <c r="G276" s="89"/>
      <c r="H276" s="92"/>
      <c r="I276" s="92"/>
      <c r="J276" s="89"/>
      <c r="K276" s="89"/>
      <c r="L276" s="89"/>
      <c r="M276" s="89"/>
      <c r="N276" s="89"/>
      <c r="O276" s="86"/>
      <c r="P276" s="86"/>
      <c r="Q276" s="14" t="e">
        <v>#N/A</v>
      </c>
      <c r="R276" s="14" t="e">
        <v>#N/A</v>
      </c>
      <c r="S276" s="14"/>
      <c r="T276" s="90"/>
      <c r="U276" s="14"/>
      <c r="V276" s="14"/>
      <c r="W276" s="14"/>
      <c r="X276" s="86"/>
      <c r="Y276" s="59">
        <f ca="1">Table24[[#This Row],[End Date]]+2-TODAY()</f>
        <v>-45816</v>
      </c>
      <c r="Z276" s="14">
        <f>IF(ISBLANK(Table24[[#This Row],[Roster Received By]]),1,0)</f>
        <v>1</v>
      </c>
      <c r="AA276" s="14">
        <f ca="1">IF(Table24[[#This Row],[Start Date]]&gt;TODAY(),1,)</f>
        <v>0</v>
      </c>
    </row>
    <row r="277" spans="1:27" s="93" customFormat="1" ht="15.75" customHeight="1" x14ac:dyDescent="0.25">
      <c r="A277" s="86"/>
      <c r="B277" s="103"/>
      <c r="C277" s="87" t="e">
        <v>#N/A</v>
      </c>
      <c r="D277" s="87" t="e">
        <v>#N/A</v>
      </c>
      <c r="E277" s="86"/>
      <c r="F277" s="89"/>
      <c r="G277" s="89"/>
      <c r="H277" s="89"/>
      <c r="I277" s="88"/>
      <c r="J277" s="88"/>
      <c r="K277" s="88"/>
      <c r="L277" s="88"/>
      <c r="M277" s="88"/>
      <c r="N277" s="88"/>
      <c r="O277" s="86"/>
      <c r="P277" s="86"/>
      <c r="Q277" s="14" t="e">
        <v>#N/A</v>
      </c>
      <c r="R277" s="14" t="e">
        <v>#N/A</v>
      </c>
      <c r="S277" s="14"/>
      <c r="T277" s="90"/>
      <c r="U277" s="14"/>
      <c r="V277" s="14"/>
      <c r="W277" s="14"/>
      <c r="X277" s="86"/>
      <c r="Y277" s="59">
        <f ca="1">Table24[[#This Row],[End Date]]+2-TODAY()</f>
        <v>-45816</v>
      </c>
      <c r="Z277" s="14">
        <f>IF(ISBLANK(Table24[[#This Row],[Roster Received By]]),1,0)</f>
        <v>1</v>
      </c>
      <c r="AA277" s="14">
        <f ca="1">IF(Table24[[#This Row],[Start Date]]&gt;TODAY(),1,)</f>
        <v>0</v>
      </c>
    </row>
    <row r="278" spans="1:27" s="93" customFormat="1" ht="15.75" customHeight="1" x14ac:dyDescent="0.25">
      <c r="A278" s="52"/>
      <c r="B278" s="104"/>
      <c r="C278" s="87" t="e">
        <v>#N/A</v>
      </c>
      <c r="D278" s="87" t="e">
        <v>#N/A</v>
      </c>
      <c r="E278" s="86"/>
      <c r="F278" s="89"/>
      <c r="G278" s="89"/>
      <c r="H278" s="89"/>
      <c r="I278" s="88"/>
      <c r="J278" s="88"/>
      <c r="K278" s="88"/>
      <c r="L278" s="88"/>
      <c r="M278" s="88"/>
      <c r="N278" s="88"/>
      <c r="O278" s="86"/>
      <c r="P278" s="86"/>
      <c r="Q278" s="14" t="e">
        <v>#N/A</v>
      </c>
      <c r="R278" s="14" t="e">
        <v>#N/A</v>
      </c>
      <c r="S278" s="14"/>
      <c r="T278" s="90"/>
      <c r="U278" s="14"/>
      <c r="V278" s="14"/>
      <c r="W278" s="14"/>
      <c r="X278" s="86"/>
      <c r="Y278" s="59">
        <f ca="1">Table24[[#This Row],[End Date]]+2-TODAY()</f>
        <v>-45816</v>
      </c>
      <c r="Z278" s="14">
        <f>IF(ISBLANK(Table24[[#This Row],[Roster Received By]]),1,0)</f>
        <v>1</v>
      </c>
      <c r="AA278" s="14">
        <f ca="1">IF(Table24[[#This Row],[Start Date]]&gt;TODAY(),1,)</f>
        <v>0</v>
      </c>
    </row>
    <row r="279" spans="1:27" s="93" customFormat="1" ht="15.75" customHeight="1" x14ac:dyDescent="0.25">
      <c r="A279" s="52"/>
      <c r="B279" s="104"/>
      <c r="C279" s="87" t="e">
        <v>#N/A</v>
      </c>
      <c r="D279" s="87" t="e">
        <v>#N/A</v>
      </c>
      <c r="E279" s="86"/>
      <c r="F279" s="89"/>
      <c r="G279" s="89"/>
      <c r="H279" s="89"/>
      <c r="I279" s="88"/>
      <c r="J279" s="88"/>
      <c r="K279" s="88"/>
      <c r="L279" s="88"/>
      <c r="M279" s="88"/>
      <c r="N279" s="88"/>
      <c r="O279" s="86"/>
      <c r="P279" s="86"/>
      <c r="Q279" s="14" t="e">
        <v>#N/A</v>
      </c>
      <c r="R279" s="14" t="e">
        <v>#N/A</v>
      </c>
      <c r="S279" s="14"/>
      <c r="T279" s="90"/>
      <c r="U279" s="14"/>
      <c r="V279" s="14"/>
      <c r="W279" s="94"/>
      <c r="X279" s="86"/>
      <c r="Y279" s="59">
        <f ca="1">Table24[[#This Row],[End Date]]+2-TODAY()</f>
        <v>-45816</v>
      </c>
      <c r="Z279" s="14">
        <f>IF(ISBLANK(Table24[[#This Row],[Roster Received By]]),1,0)</f>
        <v>1</v>
      </c>
      <c r="AA279" s="14">
        <f ca="1">IF(Table24[[#This Row],[Start Date]]&gt;TODAY(),1,)</f>
        <v>0</v>
      </c>
    </row>
    <row r="280" spans="1:27" s="93" customFormat="1" ht="15.75" customHeight="1" x14ac:dyDescent="0.25">
      <c r="A280" s="52"/>
      <c r="B280" s="104"/>
      <c r="C280" s="87" t="e">
        <v>#N/A</v>
      </c>
      <c r="D280" s="87" t="e">
        <v>#N/A</v>
      </c>
      <c r="E280" s="86"/>
      <c r="F280" s="89"/>
      <c r="G280" s="89"/>
      <c r="H280" s="92"/>
      <c r="I280" s="92"/>
      <c r="J280" s="92"/>
      <c r="K280" s="92"/>
      <c r="L280" s="92"/>
      <c r="M280" s="92"/>
      <c r="N280" s="89"/>
      <c r="O280" s="86"/>
      <c r="P280" s="86"/>
      <c r="Q280" s="14" t="e">
        <v>#N/A</v>
      </c>
      <c r="R280" s="14" t="e">
        <v>#N/A</v>
      </c>
      <c r="S280" s="14"/>
      <c r="T280" s="90"/>
      <c r="U280" s="14"/>
      <c r="V280" s="14"/>
      <c r="W280" s="14"/>
      <c r="X280" s="86"/>
      <c r="Y280" s="59">
        <f ca="1">Table24[[#This Row],[End Date]]+2-TODAY()</f>
        <v>-45816</v>
      </c>
      <c r="Z280" s="14">
        <f>IF(ISBLANK(Table24[[#This Row],[Roster Received By]]),1,0)</f>
        <v>1</v>
      </c>
      <c r="AA280" s="14">
        <f ca="1">IF(Table24[[#This Row],[Start Date]]&gt;TODAY(),1,)</f>
        <v>0</v>
      </c>
    </row>
    <row r="281" spans="1:27" s="52" customFormat="1" x14ac:dyDescent="0.25">
      <c r="B281" s="103"/>
      <c r="C281" s="87" t="e">
        <v>#N/A</v>
      </c>
      <c r="D281" s="87" t="e">
        <v>#N/A</v>
      </c>
      <c r="E281" s="86"/>
      <c r="F281" s="89"/>
      <c r="G281" s="89"/>
      <c r="H281" s="89"/>
      <c r="I281" s="88"/>
      <c r="J281" s="88"/>
      <c r="K281" s="88"/>
      <c r="L281" s="88"/>
      <c r="M281" s="88"/>
      <c r="N281" s="88"/>
      <c r="O281" s="86"/>
      <c r="P281" s="86"/>
      <c r="Q281" s="14" t="e">
        <v>#N/A</v>
      </c>
      <c r="R281" s="14" t="e">
        <v>#N/A</v>
      </c>
      <c r="S281" s="14"/>
      <c r="T281" s="90"/>
      <c r="U281" s="14"/>
      <c r="V281" s="14"/>
      <c r="W281" s="14"/>
      <c r="X281" s="86"/>
      <c r="Y281" s="59">
        <f ca="1">Table24[[#This Row],[End Date]]+2-TODAY()</f>
        <v>-45816</v>
      </c>
      <c r="Z281" s="14">
        <f>IF(ISBLANK(Table24[[#This Row],[Roster Received By]]),1,0)</f>
        <v>1</v>
      </c>
      <c r="AA281" s="14">
        <f ca="1">IF(Table24[[#This Row],[Start Date]]&gt;TODAY(),1,)</f>
        <v>0</v>
      </c>
    </row>
    <row r="282" spans="1:27" s="52" customFormat="1" x14ac:dyDescent="0.25">
      <c r="B282" s="103"/>
      <c r="C282" s="87" t="e">
        <v>#N/A</v>
      </c>
      <c r="D282" s="87" t="e">
        <v>#N/A</v>
      </c>
      <c r="E282" s="86"/>
      <c r="F282" s="89"/>
      <c r="G282" s="89"/>
      <c r="H282" s="89"/>
      <c r="I282" s="88"/>
      <c r="J282" s="88"/>
      <c r="K282" s="88"/>
      <c r="L282" s="88"/>
      <c r="M282" s="88"/>
      <c r="N282" s="88"/>
      <c r="O282" s="86"/>
      <c r="P282" s="86"/>
      <c r="Q282" s="14" t="e">
        <v>#N/A</v>
      </c>
      <c r="R282" s="14" t="e">
        <v>#N/A</v>
      </c>
      <c r="S282" s="14"/>
      <c r="T282" s="90"/>
      <c r="U282" s="14"/>
      <c r="V282" s="14"/>
      <c r="W282" s="14"/>
      <c r="X282" s="86"/>
      <c r="Y282" s="59">
        <f ca="1">Table24[[#This Row],[End Date]]+2-TODAY()</f>
        <v>-45816</v>
      </c>
      <c r="Z282" s="14">
        <f>IF(ISBLANK(Table24[[#This Row],[Roster Received By]]),1,0)</f>
        <v>1</v>
      </c>
      <c r="AA282" s="14">
        <f ca="1">IF(Table24[[#This Row],[Start Date]]&gt;TODAY(),1,)</f>
        <v>0</v>
      </c>
    </row>
    <row r="283" spans="1:27" s="52" customFormat="1" x14ac:dyDescent="0.25">
      <c r="B283" s="104"/>
      <c r="C283" s="87" t="e">
        <v>#N/A</v>
      </c>
      <c r="D283" s="87" t="e">
        <v>#N/A</v>
      </c>
      <c r="E283" s="86"/>
      <c r="F283" s="89"/>
      <c r="G283" s="89"/>
      <c r="H283" s="89"/>
      <c r="I283" s="88"/>
      <c r="J283" s="88"/>
      <c r="K283" s="88"/>
      <c r="L283" s="88"/>
      <c r="M283" s="88"/>
      <c r="N283" s="88"/>
      <c r="O283" s="86"/>
      <c r="P283" s="86"/>
      <c r="Q283" s="14" t="e">
        <v>#N/A</v>
      </c>
      <c r="R283" s="14" t="e">
        <v>#N/A</v>
      </c>
      <c r="S283" s="14"/>
      <c r="T283" s="90"/>
      <c r="U283" s="14"/>
      <c r="V283" s="14"/>
      <c r="W283" s="14"/>
      <c r="X283" s="86"/>
      <c r="Y283" s="59">
        <f ca="1">Table24[[#This Row],[End Date]]+2-TODAY()</f>
        <v>-45816</v>
      </c>
      <c r="Z283" s="14">
        <f>IF(ISBLANK(Table24[[#This Row],[Roster Received By]]),1,0)</f>
        <v>1</v>
      </c>
      <c r="AA283" s="14">
        <f ca="1">IF(Table24[[#This Row],[Start Date]]&gt;TODAY(),1,)</f>
        <v>0</v>
      </c>
    </row>
    <row r="284" spans="1:27" s="52" customFormat="1" x14ac:dyDescent="0.25">
      <c r="B284" s="104"/>
      <c r="C284" s="87" t="e">
        <v>#N/A</v>
      </c>
      <c r="D284" s="87" t="e">
        <v>#N/A</v>
      </c>
      <c r="E284" s="86"/>
      <c r="F284" s="56"/>
      <c r="G284" s="56"/>
      <c r="H284" s="56"/>
      <c r="I284" s="88"/>
      <c r="J284" s="88"/>
      <c r="K284" s="88"/>
      <c r="L284" s="88"/>
      <c r="M284" s="88"/>
      <c r="N284" s="88"/>
      <c r="O284" s="86"/>
      <c r="P284" s="86"/>
      <c r="Q284" s="14" t="e">
        <v>#N/A</v>
      </c>
      <c r="R284" s="14" t="e">
        <v>#N/A</v>
      </c>
      <c r="S284" s="14"/>
      <c r="T284" s="90"/>
      <c r="U284" s="14"/>
      <c r="V284" s="14"/>
      <c r="W284" s="90"/>
      <c r="X284" s="86"/>
      <c r="Y284" s="59">
        <f ca="1">Table24[[#This Row],[End Date]]+2-TODAY()</f>
        <v>-45816</v>
      </c>
      <c r="Z284" s="14">
        <f>IF(ISBLANK(Table24[[#This Row],[Roster Received By]]),1,0)</f>
        <v>1</v>
      </c>
      <c r="AA284" s="14">
        <f ca="1">IF(Table24[[#This Row],[Start Date]]&gt;TODAY(),1,)</f>
        <v>0</v>
      </c>
    </row>
    <row r="285" spans="1:27" s="52" customFormat="1" x14ac:dyDescent="0.25">
      <c r="B285" s="103"/>
      <c r="C285" s="87" t="e">
        <v>#N/A</v>
      </c>
      <c r="D285" s="87" t="e">
        <v>#N/A</v>
      </c>
      <c r="E285" s="86"/>
      <c r="F285" s="89"/>
      <c r="G285" s="89"/>
      <c r="H285" s="92"/>
      <c r="I285" s="92"/>
      <c r="J285" s="92"/>
      <c r="K285" s="92"/>
      <c r="L285" s="92"/>
      <c r="M285" s="92"/>
      <c r="N285" s="92"/>
      <c r="O285" s="86"/>
      <c r="P285" s="86"/>
      <c r="Q285" s="14" t="e">
        <v>#N/A</v>
      </c>
      <c r="R285" s="14" t="e">
        <v>#N/A</v>
      </c>
      <c r="S285" s="14"/>
      <c r="T285" s="90"/>
      <c r="U285" s="14"/>
      <c r="V285" s="14"/>
      <c r="W285" s="14"/>
      <c r="X285" s="86"/>
      <c r="Y285" s="59">
        <f ca="1">Table24[[#This Row],[End Date]]+2-TODAY()</f>
        <v>-45816</v>
      </c>
      <c r="Z285" s="14">
        <f>IF(ISBLANK(Table24[[#This Row],[Roster Received By]]),1,0)</f>
        <v>1</v>
      </c>
      <c r="AA285" s="14">
        <f ca="1">IF(Table24[[#This Row],[Start Date]]&gt;TODAY(),1,)</f>
        <v>0</v>
      </c>
    </row>
    <row r="286" spans="1:27" s="52" customFormat="1" x14ac:dyDescent="0.25">
      <c r="B286" s="103"/>
      <c r="C286" s="87" t="e">
        <v>#N/A</v>
      </c>
      <c r="D286" s="87" t="e">
        <v>#N/A</v>
      </c>
      <c r="E286" s="86"/>
      <c r="F286" s="56"/>
      <c r="G286" s="89"/>
      <c r="H286" s="89"/>
      <c r="I286" s="88"/>
      <c r="J286" s="88"/>
      <c r="K286" s="88"/>
      <c r="L286" s="88"/>
      <c r="M286" s="88"/>
      <c r="N286" s="88"/>
      <c r="O286" s="86"/>
      <c r="P286" s="86"/>
      <c r="Q286" s="14" t="e">
        <v>#N/A</v>
      </c>
      <c r="R286" s="14" t="e">
        <v>#N/A</v>
      </c>
      <c r="S286" s="14"/>
      <c r="T286" s="90"/>
      <c r="U286" s="14"/>
      <c r="V286" s="14"/>
      <c r="W286" s="14"/>
      <c r="X286" s="86"/>
      <c r="Y286" s="59">
        <f ca="1">Table24[[#This Row],[End Date]]+2-TODAY()</f>
        <v>-45816</v>
      </c>
      <c r="Z286" s="14">
        <f>IF(ISBLANK(Table24[[#This Row],[Roster Received By]]),1,0)</f>
        <v>1</v>
      </c>
      <c r="AA286" s="14">
        <f ca="1">IF(Table24[[#This Row],[Start Date]]&gt;TODAY(),1,)</f>
        <v>0</v>
      </c>
    </row>
    <row r="287" spans="1:27" s="52" customFormat="1" x14ac:dyDescent="0.25">
      <c r="B287" s="104"/>
      <c r="C287" s="87" t="e">
        <v>#N/A</v>
      </c>
      <c r="D287" s="87" t="e">
        <v>#N/A</v>
      </c>
      <c r="E287" s="86"/>
      <c r="F287" s="89"/>
      <c r="G287" s="89"/>
      <c r="H287" s="92"/>
      <c r="I287" s="92"/>
      <c r="J287" s="89"/>
      <c r="K287" s="89"/>
      <c r="L287" s="89"/>
      <c r="M287" s="89"/>
      <c r="N287" s="89"/>
      <c r="O287" s="86"/>
      <c r="P287" s="86"/>
      <c r="Q287" s="14" t="e">
        <v>#N/A</v>
      </c>
      <c r="R287" s="14" t="e">
        <v>#N/A</v>
      </c>
      <c r="S287" s="14"/>
      <c r="T287" s="90"/>
      <c r="U287" s="14"/>
      <c r="V287" s="14"/>
      <c r="W287" s="14"/>
      <c r="X287" s="86"/>
      <c r="Y287" s="59">
        <f ca="1">Table24[[#This Row],[End Date]]+2-TODAY()</f>
        <v>-45816</v>
      </c>
      <c r="Z287" s="14">
        <f>IF(ISBLANK(Table24[[#This Row],[Roster Received By]]),1,0)</f>
        <v>1</v>
      </c>
      <c r="AA287" s="14">
        <f ca="1">IF(Table24[[#This Row],[Start Date]]&gt;TODAY(),1,)</f>
        <v>0</v>
      </c>
    </row>
    <row r="288" spans="1:27" s="52" customFormat="1" x14ac:dyDescent="0.25">
      <c r="A288" s="54"/>
      <c r="B288" s="104"/>
      <c r="C288" s="87" t="e">
        <v>#N/A</v>
      </c>
      <c r="D288" s="87" t="e">
        <v>#N/A</v>
      </c>
      <c r="E288" s="54"/>
      <c r="F288" s="89"/>
      <c r="G288" s="89"/>
      <c r="H288" s="92"/>
      <c r="I288" s="92"/>
      <c r="J288" s="89"/>
      <c r="K288" s="89"/>
      <c r="L288" s="89"/>
      <c r="M288" s="89"/>
      <c r="N288" s="89"/>
      <c r="O288" s="86"/>
      <c r="P288" s="86"/>
      <c r="Q288" s="14" t="e">
        <v>#N/A</v>
      </c>
      <c r="R288" s="14" t="e">
        <v>#N/A</v>
      </c>
      <c r="S288" s="14"/>
      <c r="T288" s="90"/>
      <c r="U288" s="14"/>
      <c r="V288" s="14"/>
      <c r="W288" s="14"/>
      <c r="X288" s="86"/>
      <c r="Y288" s="59">
        <f ca="1">Table24[[#This Row],[End Date]]+2-TODAY()</f>
        <v>-45816</v>
      </c>
      <c r="Z288" s="14">
        <f>IF(ISBLANK(Table24[[#This Row],[Roster Received By]]),1,0)</f>
        <v>1</v>
      </c>
      <c r="AA288" s="14">
        <f ca="1">IF(Table24[[#This Row],[Start Date]]&gt;TODAY(),1,)</f>
        <v>0</v>
      </c>
    </row>
    <row r="289" spans="2:27" s="52" customFormat="1" x14ac:dyDescent="0.25">
      <c r="B289" s="103"/>
      <c r="C289" s="87" t="e">
        <v>#N/A</v>
      </c>
      <c r="D289" s="87" t="e">
        <v>#N/A</v>
      </c>
      <c r="E289" s="86"/>
      <c r="F289" s="89"/>
      <c r="G289" s="89"/>
      <c r="H289" s="92"/>
      <c r="I289" s="92"/>
      <c r="J289" s="92"/>
      <c r="K289" s="92"/>
      <c r="L289" s="92"/>
      <c r="M289" s="92"/>
      <c r="N289" s="89"/>
      <c r="O289" s="86"/>
      <c r="P289" s="86"/>
      <c r="Q289" s="14" t="e">
        <v>#N/A</v>
      </c>
      <c r="R289" s="14" t="e">
        <v>#N/A</v>
      </c>
      <c r="S289" s="14"/>
      <c r="T289" s="90"/>
      <c r="U289" s="14"/>
      <c r="V289" s="14"/>
      <c r="W289" s="14"/>
      <c r="X289" s="86"/>
      <c r="Y289" s="59">
        <f ca="1">Table24[[#This Row],[End Date]]+2-TODAY()</f>
        <v>-45816</v>
      </c>
      <c r="Z289" s="14">
        <f>IF(ISBLANK(Table24[[#This Row],[Roster Received By]]),1,0)</f>
        <v>1</v>
      </c>
      <c r="AA289" s="14">
        <f ca="1">IF(Table24[[#This Row],[Start Date]]&gt;TODAY(),1,)</f>
        <v>0</v>
      </c>
    </row>
    <row r="290" spans="2:27" s="52" customFormat="1" x14ac:dyDescent="0.25">
      <c r="B290" s="103"/>
      <c r="C290" s="87" t="e">
        <v>#N/A</v>
      </c>
      <c r="D290" s="87" t="e">
        <v>#N/A</v>
      </c>
      <c r="E290" s="86"/>
      <c r="F290" s="89"/>
      <c r="G290" s="89"/>
      <c r="H290" s="92"/>
      <c r="I290" s="92"/>
      <c r="J290" s="92"/>
      <c r="K290" s="92"/>
      <c r="L290" s="92"/>
      <c r="M290" s="92"/>
      <c r="N290" s="89"/>
      <c r="O290" s="86"/>
      <c r="P290" s="86"/>
      <c r="Q290" s="14" t="e">
        <v>#N/A</v>
      </c>
      <c r="R290" s="14" t="e">
        <v>#N/A</v>
      </c>
      <c r="S290" s="14"/>
      <c r="T290" s="90"/>
      <c r="U290" s="14"/>
      <c r="V290" s="14"/>
      <c r="W290" s="87"/>
      <c r="X290" s="86"/>
      <c r="Y290" s="59">
        <f ca="1">Table24[[#This Row],[End Date]]+2-TODAY()</f>
        <v>-45816</v>
      </c>
      <c r="Z290" s="14">
        <f>IF(ISBLANK(Table24[[#This Row],[Roster Received By]]),1,0)</f>
        <v>1</v>
      </c>
      <c r="AA290" s="14">
        <f ca="1">IF(Table24[[#This Row],[Start Date]]&gt;TODAY(),1,)</f>
        <v>0</v>
      </c>
    </row>
    <row r="291" spans="2:27" s="52" customFormat="1" x14ac:dyDescent="0.25">
      <c r="B291" s="103"/>
      <c r="C291" s="87" t="e">
        <v>#N/A</v>
      </c>
      <c r="D291" s="87" t="e">
        <v>#N/A</v>
      </c>
      <c r="E291" s="86"/>
      <c r="F291" s="89"/>
      <c r="G291" s="89"/>
      <c r="H291" s="89"/>
      <c r="I291" s="88"/>
      <c r="J291" s="88"/>
      <c r="K291" s="88"/>
      <c r="L291" s="88"/>
      <c r="M291" s="88"/>
      <c r="N291" s="88"/>
      <c r="O291" s="86"/>
      <c r="P291" s="86"/>
      <c r="Q291" s="14" t="e">
        <v>#N/A</v>
      </c>
      <c r="R291" s="14" t="e">
        <v>#N/A</v>
      </c>
      <c r="S291" s="14"/>
      <c r="T291" s="90"/>
      <c r="U291" s="14"/>
      <c r="V291" s="14"/>
      <c r="W291" s="14"/>
      <c r="X291" s="86"/>
      <c r="Y291" s="59">
        <f ca="1">Table24[[#This Row],[End Date]]+2-TODAY()</f>
        <v>-45816</v>
      </c>
      <c r="Z291" s="14">
        <f>IF(ISBLANK(Table24[[#This Row],[Roster Received By]]),1,0)</f>
        <v>1</v>
      </c>
      <c r="AA291" s="14">
        <f ca="1">IF(Table24[[#This Row],[Start Date]]&gt;TODAY(),1,)</f>
        <v>0</v>
      </c>
    </row>
    <row r="292" spans="2:27" s="52" customFormat="1" x14ac:dyDescent="0.25">
      <c r="B292" s="103"/>
      <c r="C292" s="87" t="e">
        <v>#N/A</v>
      </c>
      <c r="D292" s="87" t="e">
        <v>#N/A</v>
      </c>
      <c r="E292" s="86"/>
      <c r="F292" s="89"/>
      <c r="G292" s="89"/>
      <c r="H292" s="89"/>
      <c r="I292" s="88"/>
      <c r="J292" s="88"/>
      <c r="K292" s="88"/>
      <c r="L292" s="88"/>
      <c r="M292" s="88"/>
      <c r="N292" s="88"/>
      <c r="O292" s="86"/>
      <c r="P292" s="86"/>
      <c r="Q292" s="14" t="e">
        <v>#N/A</v>
      </c>
      <c r="R292" s="14" t="e">
        <v>#N/A</v>
      </c>
      <c r="S292" s="14"/>
      <c r="T292" s="90"/>
      <c r="U292" s="14"/>
      <c r="V292" s="14"/>
      <c r="W292" s="14"/>
      <c r="X292" s="86"/>
      <c r="Y292" s="59">
        <f ca="1">Table24[[#This Row],[End Date]]+2-TODAY()</f>
        <v>-45816</v>
      </c>
      <c r="Z292" s="14">
        <f>IF(ISBLANK(Table24[[#This Row],[Roster Received By]]),1,0)</f>
        <v>1</v>
      </c>
      <c r="AA292" s="14">
        <f ca="1">IF(Table24[[#This Row],[Start Date]]&gt;TODAY(),1,)</f>
        <v>0</v>
      </c>
    </row>
    <row r="293" spans="2:27" s="52" customFormat="1" x14ac:dyDescent="0.25">
      <c r="B293" s="103"/>
      <c r="C293" s="87" t="e">
        <v>#N/A</v>
      </c>
      <c r="D293" s="87" t="e">
        <v>#N/A</v>
      </c>
      <c r="E293" s="86"/>
      <c r="F293" s="89"/>
      <c r="G293" s="89"/>
      <c r="H293" s="89"/>
      <c r="I293" s="88"/>
      <c r="J293" s="88"/>
      <c r="K293" s="88"/>
      <c r="L293" s="88"/>
      <c r="M293" s="88"/>
      <c r="N293" s="88"/>
      <c r="O293" s="86"/>
      <c r="P293" s="86"/>
      <c r="Q293" s="14" t="e">
        <v>#N/A</v>
      </c>
      <c r="R293" s="14" t="e">
        <v>#N/A</v>
      </c>
      <c r="S293" s="14"/>
      <c r="T293" s="90"/>
      <c r="U293" s="14"/>
      <c r="V293" s="14"/>
      <c r="W293" s="14"/>
      <c r="X293" s="86"/>
      <c r="Y293" s="59">
        <f ca="1">Table24[[#This Row],[End Date]]+2-TODAY()</f>
        <v>-45816</v>
      </c>
      <c r="Z293" s="14">
        <f>IF(ISBLANK(Table24[[#This Row],[Roster Received By]]),1,0)</f>
        <v>1</v>
      </c>
      <c r="AA293" s="14">
        <f ca="1">IF(Table24[[#This Row],[Start Date]]&gt;TODAY(),1,)</f>
        <v>0</v>
      </c>
    </row>
    <row r="294" spans="2:27" s="52" customFormat="1" x14ac:dyDescent="0.25">
      <c r="B294" s="103"/>
      <c r="C294" s="87" t="e">
        <v>#N/A</v>
      </c>
      <c r="D294" s="87" t="e">
        <v>#N/A</v>
      </c>
      <c r="E294" s="86"/>
      <c r="F294" s="89"/>
      <c r="G294" s="89"/>
      <c r="H294" s="89"/>
      <c r="I294" s="88"/>
      <c r="J294" s="88"/>
      <c r="K294" s="88"/>
      <c r="L294" s="88"/>
      <c r="M294" s="88"/>
      <c r="N294" s="88"/>
      <c r="O294" s="86"/>
      <c r="P294" s="86"/>
      <c r="Q294" s="14" t="e">
        <v>#N/A</v>
      </c>
      <c r="R294" s="14" t="e">
        <v>#N/A</v>
      </c>
      <c r="S294" s="14"/>
      <c r="T294" s="90"/>
      <c r="U294" s="14"/>
      <c r="V294" s="14"/>
      <c r="W294" s="14"/>
      <c r="X294" s="86"/>
      <c r="Y294" s="59">
        <f ca="1">Table24[[#This Row],[End Date]]+2-TODAY()</f>
        <v>-45816</v>
      </c>
      <c r="Z294" s="14">
        <f>IF(ISBLANK(Table24[[#This Row],[Roster Received By]]),1,0)</f>
        <v>1</v>
      </c>
      <c r="AA294" s="14">
        <f ca="1">IF(Table24[[#This Row],[Start Date]]&gt;TODAY(),1,)</f>
        <v>0</v>
      </c>
    </row>
    <row r="295" spans="2:27" s="52" customFormat="1" x14ac:dyDescent="0.25">
      <c r="B295" s="104"/>
      <c r="C295" s="87" t="e">
        <v>#N/A</v>
      </c>
      <c r="D295" s="87" t="e">
        <v>#N/A</v>
      </c>
      <c r="E295" s="86"/>
      <c r="F295" s="89"/>
      <c r="G295" s="89"/>
      <c r="H295" s="89"/>
      <c r="I295" s="88"/>
      <c r="J295" s="88"/>
      <c r="K295" s="88"/>
      <c r="L295" s="88"/>
      <c r="M295" s="88"/>
      <c r="N295" s="88"/>
      <c r="O295" s="86"/>
      <c r="P295" s="86"/>
      <c r="Q295" s="14" t="e">
        <v>#N/A</v>
      </c>
      <c r="R295" s="14" t="e">
        <v>#N/A</v>
      </c>
      <c r="S295" s="14"/>
      <c r="T295" s="90"/>
      <c r="U295" s="14"/>
      <c r="V295" s="14"/>
      <c r="W295" s="14"/>
      <c r="X295" s="86"/>
      <c r="Y295" s="59">
        <f ca="1">Table24[[#This Row],[End Date]]+2-TODAY()</f>
        <v>-45816</v>
      </c>
      <c r="Z295" s="14">
        <f>IF(ISBLANK(Table24[[#This Row],[Roster Received By]]),1,0)</f>
        <v>1</v>
      </c>
      <c r="AA295" s="14">
        <f ca="1">IF(Table24[[#This Row],[Start Date]]&gt;TODAY(),1,)</f>
        <v>0</v>
      </c>
    </row>
    <row r="296" spans="2:27" s="52" customFormat="1" x14ac:dyDescent="0.25">
      <c r="B296" s="104"/>
      <c r="C296" s="87" t="e">
        <v>#N/A</v>
      </c>
      <c r="D296" s="87" t="e">
        <v>#N/A</v>
      </c>
      <c r="E296" s="86"/>
      <c r="F296" s="89"/>
      <c r="G296" s="89"/>
      <c r="H296" s="95"/>
      <c r="I296" s="95"/>
      <c r="J296" s="89"/>
      <c r="K296" s="89"/>
      <c r="L296" s="89"/>
      <c r="M296" s="89"/>
      <c r="N296" s="89"/>
      <c r="O296" s="86"/>
      <c r="P296" s="86"/>
      <c r="Q296" s="14" t="e">
        <v>#N/A</v>
      </c>
      <c r="R296" s="14" t="e">
        <v>#N/A</v>
      </c>
      <c r="S296" s="14"/>
      <c r="T296" s="90"/>
      <c r="U296" s="14"/>
      <c r="V296" s="14"/>
      <c r="W296" s="14"/>
      <c r="X296" s="86"/>
      <c r="Y296" s="59">
        <f ca="1">Table24[[#This Row],[End Date]]+2-TODAY()</f>
        <v>-45816</v>
      </c>
      <c r="Z296" s="14">
        <f>IF(ISBLANK(Table24[[#This Row],[Roster Received By]]),1,0)</f>
        <v>1</v>
      </c>
      <c r="AA296" s="14">
        <f ca="1">IF(Table24[[#This Row],[Start Date]]&gt;TODAY(),1,)</f>
        <v>0</v>
      </c>
    </row>
    <row r="297" spans="2:27" s="52" customFormat="1" x14ac:dyDescent="0.25">
      <c r="B297" s="104"/>
      <c r="C297" s="87" t="e">
        <v>#N/A</v>
      </c>
      <c r="D297" s="87" t="e">
        <v>#N/A</v>
      </c>
      <c r="E297" s="86"/>
      <c r="F297" s="89"/>
      <c r="G297" s="89"/>
      <c r="H297" s="89"/>
      <c r="I297" s="88"/>
      <c r="J297" s="88"/>
      <c r="K297" s="88"/>
      <c r="L297" s="88"/>
      <c r="M297" s="88"/>
      <c r="N297" s="88"/>
      <c r="O297" s="86"/>
      <c r="P297" s="86"/>
      <c r="Q297" s="14" t="e">
        <v>#N/A</v>
      </c>
      <c r="R297" s="14" t="e">
        <v>#N/A</v>
      </c>
      <c r="S297" s="14"/>
      <c r="T297" s="90"/>
      <c r="U297" s="14"/>
      <c r="V297" s="14"/>
      <c r="W297" s="14"/>
      <c r="X297" s="86"/>
      <c r="Y297" s="59">
        <f ca="1">Table24[[#This Row],[End Date]]+2-TODAY()</f>
        <v>-45816</v>
      </c>
      <c r="Z297" s="14">
        <f>IF(ISBLANK(Table24[[#This Row],[Roster Received By]]),1,0)</f>
        <v>1</v>
      </c>
      <c r="AA297" s="14">
        <f ca="1">IF(Table24[[#This Row],[Start Date]]&gt;TODAY(),1,)</f>
        <v>0</v>
      </c>
    </row>
    <row r="298" spans="2:27" s="52" customFormat="1" x14ac:dyDescent="0.25">
      <c r="B298" s="104"/>
      <c r="C298" s="87" t="e">
        <v>#N/A</v>
      </c>
      <c r="D298" s="87" t="e">
        <v>#N/A</v>
      </c>
      <c r="E298" s="86"/>
      <c r="F298" s="89"/>
      <c r="G298" s="89"/>
      <c r="H298" s="89"/>
      <c r="I298" s="88"/>
      <c r="J298" s="88"/>
      <c r="K298" s="88"/>
      <c r="L298" s="88"/>
      <c r="M298" s="88"/>
      <c r="N298" s="88"/>
      <c r="O298" s="86"/>
      <c r="P298" s="86"/>
      <c r="Q298" s="14" t="e">
        <v>#N/A</v>
      </c>
      <c r="R298" s="14" t="e">
        <v>#N/A</v>
      </c>
      <c r="S298" s="14"/>
      <c r="T298" s="90"/>
      <c r="U298" s="14"/>
      <c r="V298" s="14"/>
      <c r="W298" s="90"/>
      <c r="X298" s="86"/>
      <c r="Y298" s="59">
        <f ca="1">Table24[[#This Row],[End Date]]+2-TODAY()</f>
        <v>-45816</v>
      </c>
      <c r="Z298" s="14">
        <f>IF(ISBLANK(Table24[[#This Row],[Roster Received By]]),1,0)</f>
        <v>1</v>
      </c>
      <c r="AA298" s="14">
        <f ca="1">IF(Table24[[#This Row],[Start Date]]&gt;TODAY(),1,)</f>
        <v>0</v>
      </c>
    </row>
    <row r="299" spans="2:27" s="52" customFormat="1" x14ac:dyDescent="0.25">
      <c r="B299" s="104"/>
      <c r="C299" s="87" t="e">
        <v>#N/A</v>
      </c>
      <c r="D299" s="87" t="e">
        <v>#N/A</v>
      </c>
      <c r="E299" s="86"/>
      <c r="F299" s="89"/>
      <c r="G299" s="89"/>
      <c r="H299" s="92"/>
      <c r="I299" s="92"/>
      <c r="J299" s="89"/>
      <c r="K299" s="89"/>
      <c r="L299" s="89"/>
      <c r="M299" s="89"/>
      <c r="N299" s="89"/>
      <c r="O299" s="86"/>
      <c r="P299" s="86"/>
      <c r="Q299" s="14" t="e">
        <v>#N/A</v>
      </c>
      <c r="R299" s="14" t="e">
        <v>#N/A</v>
      </c>
      <c r="S299" s="90"/>
      <c r="T299" s="90"/>
      <c r="U299" s="14"/>
      <c r="V299" s="14"/>
      <c r="W299" s="87"/>
      <c r="X299" s="86"/>
      <c r="Y299" s="96">
        <f ca="1">Table24[[#This Row],[End Date]]+2-TODAY()</f>
        <v>-45816</v>
      </c>
      <c r="Z299" s="14">
        <f>IF(ISBLANK(Table24[[#This Row],[Roster Received By]]),1,0)</f>
        <v>1</v>
      </c>
      <c r="AA299" s="87">
        <f ca="1">IF(Table24[[#This Row],[Start Date]]&gt;TODAY(),1,)</f>
        <v>0</v>
      </c>
    </row>
    <row r="300" spans="2:27" s="52" customFormat="1" x14ac:dyDescent="0.25">
      <c r="B300" s="104"/>
      <c r="C300" s="87" t="e">
        <v>#N/A</v>
      </c>
      <c r="D300" s="87" t="e">
        <v>#N/A</v>
      </c>
      <c r="E300" s="86"/>
      <c r="F300" s="89"/>
      <c r="G300" s="89"/>
      <c r="H300" s="92"/>
      <c r="I300" s="92"/>
      <c r="J300" s="89"/>
      <c r="K300" s="89"/>
      <c r="L300" s="89"/>
      <c r="M300" s="89"/>
      <c r="N300" s="89"/>
      <c r="O300" s="86"/>
      <c r="P300" s="86"/>
      <c r="Q300" s="14" t="e">
        <v>#N/A</v>
      </c>
      <c r="R300" s="14" t="e">
        <v>#N/A</v>
      </c>
      <c r="S300" s="14"/>
      <c r="T300" s="90"/>
      <c r="U300" s="14"/>
      <c r="V300" s="14"/>
      <c r="W300" s="14"/>
      <c r="X300" s="86"/>
      <c r="Y300" s="59">
        <f ca="1">Table24[[#This Row],[End Date]]+2-TODAY()</f>
        <v>-45816</v>
      </c>
      <c r="Z300" s="14">
        <f>IF(ISBLANK(Table24[[#This Row],[Roster Received By]]),1,0)</f>
        <v>1</v>
      </c>
      <c r="AA300" s="14">
        <f ca="1">IF(Table24[[#This Row],[Start Date]]&gt;TODAY(),1,)</f>
        <v>0</v>
      </c>
    </row>
    <row r="301" spans="2:27" s="52" customFormat="1" x14ac:dyDescent="0.25">
      <c r="B301" s="104"/>
      <c r="C301" s="87" t="e">
        <v>#N/A</v>
      </c>
      <c r="D301" s="87" t="e">
        <v>#N/A</v>
      </c>
      <c r="E301" s="86"/>
      <c r="F301" s="89"/>
      <c r="G301" s="89"/>
      <c r="H301" s="92"/>
      <c r="I301" s="92"/>
      <c r="J301" s="92"/>
      <c r="K301" s="92"/>
      <c r="L301" s="92"/>
      <c r="M301" s="92"/>
      <c r="N301" s="92"/>
      <c r="O301" s="86"/>
      <c r="P301" s="86"/>
      <c r="Q301" s="14" t="e">
        <v>#N/A</v>
      </c>
      <c r="R301" s="14" t="e">
        <v>#N/A</v>
      </c>
      <c r="S301" s="14"/>
      <c r="T301" s="90"/>
      <c r="U301" s="14"/>
      <c r="V301" s="14"/>
      <c r="W301" s="14"/>
      <c r="X301" s="86"/>
      <c r="Y301" s="59">
        <f ca="1">Table24[[#This Row],[End Date]]+2-TODAY()</f>
        <v>-45816</v>
      </c>
      <c r="Z301" s="14">
        <f>IF(ISBLANK(Table24[[#This Row],[Roster Received By]]),1,0)</f>
        <v>1</v>
      </c>
      <c r="AA301" s="14">
        <f ca="1">IF(Table24[[#This Row],[Start Date]]&gt;TODAY(),1,)</f>
        <v>0</v>
      </c>
    </row>
    <row r="302" spans="2:27" s="52" customFormat="1" x14ac:dyDescent="0.25">
      <c r="B302" s="104"/>
      <c r="C302" s="87" t="e">
        <v>#N/A</v>
      </c>
      <c r="D302" s="87" t="e">
        <v>#N/A</v>
      </c>
      <c r="E302" s="86"/>
      <c r="F302" s="56"/>
      <c r="G302" s="89"/>
      <c r="H302" s="89"/>
      <c r="I302" s="88"/>
      <c r="J302" s="88"/>
      <c r="K302" s="88"/>
      <c r="L302" s="88"/>
      <c r="M302" s="88"/>
      <c r="N302" s="88"/>
      <c r="O302" s="86"/>
      <c r="P302" s="86"/>
      <c r="Q302" s="14" t="e">
        <v>#N/A</v>
      </c>
      <c r="R302" s="14" t="e">
        <v>#N/A</v>
      </c>
      <c r="S302" s="14"/>
      <c r="T302" s="90"/>
      <c r="U302" s="14"/>
      <c r="V302" s="14"/>
      <c r="W302" s="14"/>
      <c r="X302" s="86"/>
      <c r="Y302" s="59">
        <f ca="1">Table24[[#This Row],[End Date]]+2-TODAY()</f>
        <v>-45816</v>
      </c>
      <c r="Z302" s="14">
        <f>IF(ISBLANK(Table24[[#This Row],[Roster Received By]]),1,0)</f>
        <v>1</v>
      </c>
      <c r="AA302" s="14">
        <f ca="1">IF(Table24[[#This Row],[Start Date]]&gt;TODAY(),1,)</f>
        <v>0</v>
      </c>
    </row>
    <row r="303" spans="2:27" s="52" customFormat="1" x14ac:dyDescent="0.25">
      <c r="B303" s="104"/>
      <c r="C303" s="87" t="e">
        <v>#N/A</v>
      </c>
      <c r="D303" s="87" t="e">
        <v>#N/A</v>
      </c>
      <c r="E303" s="86"/>
      <c r="F303" s="89"/>
      <c r="G303" s="89"/>
      <c r="H303" s="89"/>
      <c r="I303" s="88"/>
      <c r="J303" s="88"/>
      <c r="K303" s="88"/>
      <c r="L303" s="88"/>
      <c r="M303" s="88"/>
      <c r="N303" s="88"/>
      <c r="O303" s="86"/>
      <c r="P303" s="86"/>
      <c r="Q303" s="14" t="e">
        <v>#N/A</v>
      </c>
      <c r="R303" s="14" t="e">
        <v>#N/A</v>
      </c>
      <c r="S303" s="14"/>
      <c r="T303" s="90"/>
      <c r="U303" s="14"/>
      <c r="V303" s="14"/>
      <c r="W303" s="14"/>
      <c r="X303" s="86"/>
      <c r="Y303" s="59">
        <f ca="1">Table24[[#This Row],[End Date]]+2-TODAY()</f>
        <v>-45816</v>
      </c>
      <c r="Z303" s="14">
        <f>IF(ISBLANK(Table24[[#This Row],[Roster Received By]]),1,0)</f>
        <v>1</v>
      </c>
      <c r="AA303" s="14">
        <f ca="1">IF(Table24[[#This Row],[Start Date]]&gt;TODAY(),1,)</f>
        <v>0</v>
      </c>
    </row>
    <row r="304" spans="2:27" s="52" customFormat="1" x14ac:dyDescent="0.25">
      <c r="B304" s="104"/>
      <c r="C304" s="87" t="e">
        <v>#N/A</v>
      </c>
      <c r="D304" s="87" t="e">
        <v>#N/A</v>
      </c>
      <c r="E304" s="86"/>
      <c r="F304" s="97"/>
      <c r="G304" s="97"/>
      <c r="H304" s="89"/>
      <c r="I304" s="88"/>
      <c r="J304" s="88"/>
      <c r="K304" s="88"/>
      <c r="L304" s="88"/>
      <c r="M304" s="88"/>
      <c r="N304" s="88"/>
      <c r="O304" s="86"/>
      <c r="P304" s="86"/>
      <c r="Q304" s="14" t="e">
        <v>#N/A</v>
      </c>
      <c r="R304" s="14" t="e">
        <v>#N/A</v>
      </c>
      <c r="S304" s="14"/>
      <c r="T304" s="90"/>
      <c r="U304" s="14"/>
      <c r="V304" s="14"/>
      <c r="W304" s="14"/>
      <c r="X304" s="86"/>
      <c r="Y304" s="59">
        <f ca="1">Table24[[#This Row],[End Date]]+2-TODAY()</f>
        <v>-45816</v>
      </c>
      <c r="Z304" s="14">
        <f>IF(ISBLANK(Table24[[#This Row],[Roster Received By]]),1,0)</f>
        <v>1</v>
      </c>
      <c r="AA304" s="14">
        <f ca="1">IF(Table24[[#This Row],[Start Date]]&gt;TODAY(),1,)</f>
        <v>0</v>
      </c>
    </row>
    <row r="305" spans="1:27" s="52" customFormat="1" x14ac:dyDescent="0.25">
      <c r="B305" s="104"/>
      <c r="C305" s="87" t="e">
        <v>#N/A</v>
      </c>
      <c r="D305" s="87" t="e">
        <v>#N/A</v>
      </c>
      <c r="E305" s="86"/>
      <c r="F305" s="97"/>
      <c r="G305" s="97"/>
      <c r="H305" s="89"/>
      <c r="I305" s="88"/>
      <c r="J305" s="88"/>
      <c r="K305" s="88"/>
      <c r="L305" s="88"/>
      <c r="M305" s="88"/>
      <c r="N305" s="88"/>
      <c r="O305" s="86"/>
      <c r="P305" s="86"/>
      <c r="Q305" s="14" t="e">
        <v>#N/A</v>
      </c>
      <c r="R305" s="14" t="e">
        <v>#N/A</v>
      </c>
      <c r="S305" s="14"/>
      <c r="T305" s="90"/>
      <c r="U305" s="14"/>
      <c r="V305" s="14"/>
      <c r="W305" s="14"/>
      <c r="X305" s="86"/>
      <c r="Y305" s="59">
        <f ca="1">Table24[[#This Row],[End Date]]+2-TODAY()</f>
        <v>-45816</v>
      </c>
      <c r="Z305" s="14">
        <f>IF(ISBLANK(Table24[[#This Row],[Roster Received By]]),1,0)</f>
        <v>1</v>
      </c>
      <c r="AA305" s="14">
        <f ca="1">IF(Table24[[#This Row],[Start Date]]&gt;TODAY(),1,)</f>
        <v>0</v>
      </c>
    </row>
    <row r="306" spans="1:27" s="52" customFormat="1" x14ac:dyDescent="0.25">
      <c r="B306" s="104"/>
      <c r="C306" s="87" t="e">
        <v>#N/A</v>
      </c>
      <c r="D306" s="87" t="e">
        <v>#N/A</v>
      </c>
      <c r="E306" s="86"/>
      <c r="F306" s="97"/>
      <c r="G306" s="97"/>
      <c r="H306" s="89"/>
      <c r="I306" s="88"/>
      <c r="J306" s="88"/>
      <c r="K306" s="88"/>
      <c r="L306" s="88"/>
      <c r="M306" s="88"/>
      <c r="N306" s="88"/>
      <c r="O306" s="86"/>
      <c r="P306" s="86"/>
      <c r="Q306" s="14" t="e">
        <v>#N/A</v>
      </c>
      <c r="R306" s="14" t="e">
        <v>#N/A</v>
      </c>
      <c r="S306" s="14"/>
      <c r="T306" s="90"/>
      <c r="U306" s="14"/>
      <c r="V306" s="14"/>
      <c r="W306" s="14"/>
      <c r="X306" s="86"/>
      <c r="Y306" s="59">
        <f ca="1">Table24[[#This Row],[End Date]]+2-TODAY()</f>
        <v>-45816</v>
      </c>
      <c r="Z306" s="14">
        <f>IF(ISBLANK(Table24[[#This Row],[Roster Received By]]),1,0)</f>
        <v>1</v>
      </c>
      <c r="AA306" s="14">
        <f ca="1">IF(Table24[[#This Row],[Start Date]]&gt;TODAY(),1,)</f>
        <v>0</v>
      </c>
    </row>
    <row r="307" spans="1:27" s="52" customFormat="1" x14ac:dyDescent="0.25">
      <c r="B307" s="104"/>
      <c r="C307" s="87" t="e">
        <v>#N/A</v>
      </c>
      <c r="D307" s="87" t="e">
        <v>#N/A</v>
      </c>
      <c r="E307" s="86"/>
      <c r="F307" s="97"/>
      <c r="G307" s="97"/>
      <c r="H307" s="95"/>
      <c r="I307" s="95"/>
      <c r="J307" s="89"/>
      <c r="K307" s="89"/>
      <c r="L307" s="89"/>
      <c r="M307" s="89"/>
      <c r="N307" s="89"/>
      <c r="O307" s="86"/>
      <c r="P307" s="86"/>
      <c r="Q307" s="14" t="e">
        <v>#N/A</v>
      </c>
      <c r="R307" s="14" t="e">
        <v>#N/A</v>
      </c>
      <c r="S307" s="14"/>
      <c r="T307" s="90"/>
      <c r="U307" s="14"/>
      <c r="V307" s="14"/>
      <c r="W307" s="14"/>
      <c r="X307" s="86"/>
      <c r="Y307" s="59">
        <f ca="1">Table24[[#This Row],[End Date]]+2-TODAY()</f>
        <v>-45816</v>
      </c>
      <c r="Z307" s="14">
        <f>IF(ISBLANK(Table24[[#This Row],[Roster Received By]]),1,0)</f>
        <v>1</v>
      </c>
      <c r="AA307" s="14">
        <f ca="1">IF(Table24[[#This Row],[Start Date]]&gt;TODAY(),1,)</f>
        <v>0</v>
      </c>
    </row>
    <row r="308" spans="1:27" s="52" customFormat="1" x14ac:dyDescent="0.25">
      <c r="B308" s="104"/>
      <c r="C308" s="87" t="e">
        <v>#N/A</v>
      </c>
      <c r="D308" s="87" t="e">
        <v>#N/A</v>
      </c>
      <c r="E308" s="86"/>
      <c r="F308" s="97"/>
      <c r="G308" s="97"/>
      <c r="H308" s="92"/>
      <c r="I308" s="92"/>
      <c r="J308" s="92"/>
      <c r="K308" s="92"/>
      <c r="L308" s="92"/>
      <c r="M308" s="92"/>
      <c r="N308" s="89"/>
      <c r="O308" s="86"/>
      <c r="P308" s="86"/>
      <c r="Q308" s="14" t="e">
        <v>#N/A</v>
      </c>
      <c r="R308" s="14" t="e">
        <v>#N/A</v>
      </c>
      <c r="S308" s="14"/>
      <c r="T308" s="90"/>
      <c r="U308" s="14"/>
      <c r="V308" s="14"/>
      <c r="W308" s="87"/>
      <c r="X308" s="86"/>
      <c r="Y308" s="59">
        <f ca="1">Table24[[#This Row],[End Date]]+2-TODAY()</f>
        <v>-45816</v>
      </c>
      <c r="Z308" s="14">
        <f>IF(ISBLANK(Table24[[#This Row],[Roster Received By]]),1,0)</f>
        <v>1</v>
      </c>
      <c r="AA308" s="14">
        <f ca="1">IF(Table24[[#This Row],[Start Date]]&gt;TODAY(),1,)</f>
        <v>0</v>
      </c>
    </row>
    <row r="309" spans="1:27" s="52" customFormat="1" x14ac:dyDescent="0.25">
      <c r="B309" s="104"/>
      <c r="C309" s="87" t="e">
        <v>#N/A</v>
      </c>
      <c r="D309" s="87" t="e">
        <v>#N/A</v>
      </c>
      <c r="E309" s="54"/>
      <c r="F309" s="97"/>
      <c r="G309" s="97"/>
      <c r="H309" s="92"/>
      <c r="I309" s="92"/>
      <c r="J309" s="89"/>
      <c r="K309" s="89"/>
      <c r="L309" s="89"/>
      <c r="M309" s="89"/>
      <c r="N309" s="89"/>
      <c r="O309" s="86"/>
      <c r="P309" s="86"/>
      <c r="Q309" s="14" t="e">
        <v>#N/A</v>
      </c>
      <c r="R309" s="14" t="e">
        <v>#N/A</v>
      </c>
      <c r="S309" s="14"/>
      <c r="T309" s="90"/>
      <c r="U309" s="14"/>
      <c r="V309" s="14"/>
      <c r="W309" s="14"/>
      <c r="X309" s="86"/>
      <c r="Y309" s="59">
        <f ca="1">Table24[[#This Row],[End Date]]+2-TODAY()</f>
        <v>-45816</v>
      </c>
      <c r="Z309" s="14">
        <f>IF(ISBLANK(Table24[[#This Row],[Roster Received By]]),1,0)</f>
        <v>1</v>
      </c>
      <c r="AA309" s="14">
        <f ca="1">IF(Table24[[#This Row],[Start Date]]&gt;TODAY(),1,)</f>
        <v>0</v>
      </c>
    </row>
    <row r="310" spans="1:27" s="52" customFormat="1" x14ac:dyDescent="0.25">
      <c r="B310" s="104"/>
      <c r="C310" s="87" t="e">
        <v>#N/A</v>
      </c>
      <c r="D310" s="87" t="e">
        <v>#N/A</v>
      </c>
      <c r="E310" s="54"/>
      <c r="F310" s="97"/>
      <c r="G310" s="97"/>
      <c r="H310" s="92"/>
      <c r="I310" s="92"/>
      <c r="J310" s="89"/>
      <c r="K310" s="89"/>
      <c r="L310" s="89"/>
      <c r="M310" s="89"/>
      <c r="N310" s="89"/>
      <c r="O310" s="86"/>
      <c r="P310" s="86"/>
      <c r="Q310" s="14" t="e">
        <v>#N/A</v>
      </c>
      <c r="R310" s="14" t="e">
        <v>#N/A</v>
      </c>
      <c r="S310" s="14"/>
      <c r="T310" s="90"/>
      <c r="U310" s="14"/>
      <c r="V310" s="14"/>
      <c r="W310" s="14"/>
      <c r="X310" s="86"/>
      <c r="Y310" s="59">
        <f ca="1">Table24[[#This Row],[End Date]]+2-TODAY()</f>
        <v>-45816</v>
      </c>
      <c r="Z310" s="14">
        <f>IF(ISBLANK(Table24[[#This Row],[Roster Received By]]),1,0)</f>
        <v>1</v>
      </c>
      <c r="AA310" s="14">
        <f ca="1">IF(Table24[[#This Row],[Start Date]]&gt;TODAY(),1,)</f>
        <v>0</v>
      </c>
    </row>
    <row r="311" spans="1:27" s="52" customFormat="1" x14ac:dyDescent="0.25">
      <c r="B311" s="104"/>
      <c r="C311" s="87" t="e">
        <v>#N/A</v>
      </c>
      <c r="D311" s="87" t="e">
        <v>#N/A</v>
      </c>
      <c r="E311" s="86"/>
      <c r="F311" s="97"/>
      <c r="G311" s="97"/>
      <c r="H311" s="95"/>
      <c r="I311" s="95"/>
      <c r="J311" s="89"/>
      <c r="K311" s="89"/>
      <c r="L311" s="89"/>
      <c r="M311" s="89"/>
      <c r="N311" s="89"/>
      <c r="O311" s="86"/>
      <c r="P311" s="86"/>
      <c r="Q311" s="14" t="e">
        <v>#N/A</v>
      </c>
      <c r="R311" s="14" t="e">
        <v>#N/A</v>
      </c>
      <c r="S311" s="90"/>
      <c r="T311" s="90"/>
      <c r="U311" s="14"/>
      <c r="V311" s="14"/>
      <c r="W311" s="14"/>
      <c r="X311" s="86"/>
      <c r="Y311" s="59">
        <f ca="1">Table24[[#This Row],[End Date]]+2-TODAY()</f>
        <v>-45816</v>
      </c>
      <c r="Z311" s="14">
        <f>IF(ISBLANK(Table24[[#This Row],[Roster Received By]]),1,0)</f>
        <v>1</v>
      </c>
      <c r="AA311" s="14">
        <f ca="1">IF(Table24[[#This Row],[Start Date]]&gt;TODAY(),1,)</f>
        <v>0</v>
      </c>
    </row>
    <row r="312" spans="1:27" s="52" customFormat="1" x14ac:dyDescent="0.25">
      <c r="B312" s="86"/>
      <c r="C312" s="87" t="e">
        <v>#N/A</v>
      </c>
      <c r="D312" s="87" t="e">
        <v>#N/A</v>
      </c>
      <c r="E312" s="86"/>
      <c r="F312" s="97"/>
      <c r="G312" s="97"/>
      <c r="H312" s="92"/>
      <c r="I312" s="92"/>
      <c r="J312" s="89"/>
      <c r="K312" s="89"/>
      <c r="L312" s="89"/>
      <c r="M312" s="89"/>
      <c r="N312" s="89"/>
      <c r="O312" s="86"/>
      <c r="P312" s="86"/>
      <c r="Q312" s="14" t="e">
        <v>#N/A</v>
      </c>
      <c r="R312" s="14" t="e">
        <v>#N/A</v>
      </c>
      <c r="S312" s="90"/>
      <c r="T312" s="90"/>
      <c r="U312" s="14"/>
      <c r="V312" s="14"/>
      <c r="W312" s="87"/>
      <c r="X312" s="86"/>
      <c r="Y312" s="96">
        <f ca="1">Table24[[#This Row],[End Date]]+2-TODAY()</f>
        <v>-45816</v>
      </c>
      <c r="Z312" s="14">
        <f>IF(ISBLANK(Table24[[#This Row],[Roster Received By]]),1,0)</f>
        <v>1</v>
      </c>
      <c r="AA312" s="87">
        <f ca="1">IF(Table24[[#This Row],[Start Date]]&gt;TODAY(),1,)</f>
        <v>0</v>
      </c>
    </row>
    <row r="313" spans="1:27" s="52" customFormat="1" x14ac:dyDescent="0.25">
      <c r="B313" s="105"/>
      <c r="C313" s="87" t="e">
        <v>#N/A</v>
      </c>
      <c r="D313" s="87" t="e">
        <v>#N/A</v>
      </c>
      <c r="E313" s="86"/>
      <c r="F313" s="97"/>
      <c r="G313" s="97"/>
      <c r="H313" s="95"/>
      <c r="I313" s="95"/>
      <c r="J313" s="89"/>
      <c r="K313" s="89"/>
      <c r="L313" s="89"/>
      <c r="M313" s="89"/>
      <c r="N313" s="89"/>
      <c r="O313" s="86"/>
      <c r="P313" s="86"/>
      <c r="Q313" s="14" t="e">
        <v>#N/A</v>
      </c>
      <c r="R313" s="14" t="e">
        <v>#N/A</v>
      </c>
      <c r="S313" s="14"/>
      <c r="T313" s="90"/>
      <c r="U313" s="14"/>
      <c r="V313" s="14"/>
      <c r="W313" s="14"/>
      <c r="X313" s="86"/>
      <c r="Y313" s="59">
        <f ca="1">Table24[[#This Row],[End Date]]+2-TODAY()</f>
        <v>-45816</v>
      </c>
      <c r="Z313" s="14">
        <f>IF(ISBLANK(Table24[[#This Row],[Roster Received By]]),1,0)</f>
        <v>1</v>
      </c>
      <c r="AA313" s="14">
        <f ca="1">IF(Table24[[#This Row],[Start Date]]&gt;TODAY(),1,)</f>
        <v>0</v>
      </c>
    </row>
    <row r="314" spans="1:27" s="52" customFormat="1" x14ac:dyDescent="0.25">
      <c r="B314" s="104"/>
      <c r="C314" s="87" t="e">
        <v>#N/A</v>
      </c>
      <c r="D314" s="87" t="e">
        <v>#N/A</v>
      </c>
      <c r="E314" s="86"/>
      <c r="F314" s="97"/>
      <c r="G314" s="97"/>
      <c r="H314" s="89"/>
      <c r="I314" s="88"/>
      <c r="J314" s="88"/>
      <c r="K314" s="88"/>
      <c r="L314" s="88"/>
      <c r="M314" s="88"/>
      <c r="N314" s="88"/>
      <c r="O314" s="86"/>
      <c r="P314" s="86"/>
      <c r="Q314" s="14" t="e">
        <v>#N/A</v>
      </c>
      <c r="R314" s="14" t="e">
        <v>#N/A</v>
      </c>
      <c r="S314" s="14"/>
      <c r="T314" s="90"/>
      <c r="U314" s="14"/>
      <c r="V314" s="14"/>
      <c r="W314" s="14"/>
      <c r="X314" s="86"/>
      <c r="Y314" s="59">
        <f ca="1">Table24[[#This Row],[End Date]]+2-TODAY()</f>
        <v>-45816</v>
      </c>
      <c r="Z314" s="14">
        <f>IF(ISBLANK(Table24[[#This Row],[Roster Received By]]),1,0)</f>
        <v>1</v>
      </c>
      <c r="AA314" s="14">
        <f ca="1">IF(Table24[[#This Row],[Start Date]]&gt;TODAY(),1,)</f>
        <v>0</v>
      </c>
    </row>
    <row r="315" spans="1:27" s="52" customFormat="1" x14ac:dyDescent="0.25">
      <c r="B315" s="105"/>
      <c r="C315" s="87" t="e">
        <v>#N/A</v>
      </c>
      <c r="D315" s="87" t="e">
        <v>#N/A</v>
      </c>
      <c r="E315" s="86"/>
      <c r="F315" s="97"/>
      <c r="G315" s="97"/>
      <c r="H315" s="92"/>
      <c r="I315" s="92"/>
      <c r="J315" s="89"/>
      <c r="K315" s="89"/>
      <c r="L315" s="89"/>
      <c r="M315" s="89"/>
      <c r="N315" s="89"/>
      <c r="O315" s="86"/>
      <c r="P315" s="86"/>
      <c r="Q315" s="14" t="e">
        <v>#N/A</v>
      </c>
      <c r="R315" s="14" t="e">
        <v>#N/A</v>
      </c>
      <c r="S315" s="14"/>
      <c r="T315" s="90"/>
      <c r="U315" s="14"/>
      <c r="V315" s="14"/>
      <c r="W315" s="14"/>
      <c r="X315" s="86"/>
      <c r="Y315" s="59">
        <f ca="1">Table24[[#This Row],[End Date]]+2-TODAY()</f>
        <v>-45816</v>
      </c>
      <c r="Z315" s="14">
        <f>IF(ISBLANK(Table24[[#This Row],[Roster Received By]]),1,0)</f>
        <v>1</v>
      </c>
      <c r="AA315" s="14">
        <f ca="1">IF(Table24[[#This Row],[Start Date]]&gt;TODAY(),1,)</f>
        <v>0</v>
      </c>
    </row>
    <row r="316" spans="1:27" s="52" customFormat="1" x14ac:dyDescent="0.25">
      <c r="B316" s="105"/>
      <c r="C316" s="87" t="e">
        <v>#N/A</v>
      </c>
      <c r="D316" s="87" t="e">
        <v>#N/A</v>
      </c>
      <c r="E316" s="86"/>
      <c r="F316" s="97"/>
      <c r="G316" s="97"/>
      <c r="H316" s="92"/>
      <c r="I316" s="92"/>
      <c r="J316" s="89"/>
      <c r="K316" s="89"/>
      <c r="L316" s="89"/>
      <c r="M316" s="89"/>
      <c r="N316" s="89"/>
      <c r="O316" s="86"/>
      <c r="P316" s="86"/>
      <c r="Q316" s="14" t="e">
        <v>#N/A</v>
      </c>
      <c r="R316" s="14" t="e">
        <v>#N/A</v>
      </c>
      <c r="S316" s="14"/>
      <c r="T316" s="90"/>
      <c r="U316" s="14"/>
      <c r="V316" s="14"/>
      <c r="W316" s="14"/>
      <c r="X316" s="86"/>
      <c r="Y316" s="59">
        <f ca="1">Table24[[#This Row],[End Date]]+2-TODAY()</f>
        <v>-45816</v>
      </c>
      <c r="Z316" s="14">
        <f>IF(ISBLANK(Table24[[#This Row],[Roster Received By]]),1,0)</f>
        <v>1</v>
      </c>
      <c r="AA316" s="14">
        <f ca="1">IF(Table24[[#This Row],[Start Date]]&gt;TODAY(),1,)</f>
        <v>0</v>
      </c>
    </row>
    <row r="317" spans="1:27" s="52" customFormat="1" x14ac:dyDescent="0.25">
      <c r="A317" s="129"/>
      <c r="B317" s="105"/>
      <c r="C317" s="87" t="e">
        <v>#N/A</v>
      </c>
      <c r="D317" s="87" t="e">
        <v>#N/A</v>
      </c>
      <c r="E317" s="86"/>
      <c r="F317" s="119"/>
      <c r="G317" s="119"/>
      <c r="H317" s="92"/>
      <c r="I317" s="92"/>
      <c r="J317" s="89"/>
      <c r="K317" s="89"/>
      <c r="L317" s="89"/>
      <c r="M317" s="89"/>
      <c r="N317" s="89"/>
      <c r="O317" s="86"/>
      <c r="P317" s="86"/>
      <c r="Q317" s="14" t="e">
        <v>#N/A</v>
      </c>
      <c r="R317" s="14" t="e">
        <v>#N/A</v>
      </c>
      <c r="S317" s="90"/>
      <c r="T317" s="90"/>
      <c r="U317" s="14"/>
      <c r="V317" s="14"/>
      <c r="W317" s="14"/>
      <c r="X317" s="86"/>
      <c r="Y317" s="59">
        <f ca="1">Table24[[#This Row],[End Date]]+2-TODAY()</f>
        <v>-45816</v>
      </c>
      <c r="Z317" s="14">
        <f>IF(ISBLANK(Table24[[#This Row],[Roster Received By]]),1,0)</f>
        <v>1</v>
      </c>
      <c r="AA317" s="14">
        <f ca="1">IF(Table24[[#This Row],[Start Date]]&gt;TODAY(),1,)</f>
        <v>0</v>
      </c>
    </row>
    <row r="318" spans="1:27" s="52" customFormat="1" x14ac:dyDescent="0.25">
      <c r="A318" s="86"/>
      <c r="B318" s="105"/>
      <c r="C318" s="87" t="e">
        <v>#N/A</v>
      </c>
      <c r="D318" s="87" t="e">
        <v>#N/A</v>
      </c>
      <c r="E318" s="105"/>
      <c r="F318" s="120"/>
      <c r="G318" s="120"/>
      <c r="H318" s="56"/>
      <c r="I318" s="88"/>
      <c r="J318" s="88"/>
      <c r="K318" s="88"/>
      <c r="L318" s="88"/>
      <c r="M318" s="88"/>
      <c r="N318" s="88"/>
      <c r="O318" s="86"/>
      <c r="P318" s="86"/>
      <c r="Q318" s="14" t="e">
        <v>#N/A</v>
      </c>
      <c r="R318" s="14" t="e">
        <v>#N/A</v>
      </c>
      <c r="S318" s="14"/>
      <c r="T318" s="90"/>
      <c r="U318" s="14"/>
      <c r="V318" s="14"/>
      <c r="W318" s="14"/>
      <c r="X318" s="86"/>
      <c r="Y318" s="59">
        <f ca="1">Table24[[#This Row],[End Date]]+2-TODAY()</f>
        <v>-45816</v>
      </c>
      <c r="Z318" s="14">
        <f>IF(ISBLANK(Table24[[#This Row],[Roster Received By]]),1,0)</f>
        <v>1</v>
      </c>
      <c r="AA318" s="14">
        <f ca="1">IF(Table24[[#This Row],[Start Date]]&gt;TODAY(),1,)</f>
        <v>0</v>
      </c>
    </row>
    <row r="319" spans="1:27" s="52" customFormat="1" x14ac:dyDescent="0.25">
      <c r="B319" s="105"/>
      <c r="C319" s="87" t="e">
        <v>#N/A</v>
      </c>
      <c r="D319" s="87" t="e">
        <v>#N/A</v>
      </c>
      <c r="E319" s="105"/>
      <c r="F319" s="119"/>
      <c r="G319" s="119"/>
      <c r="H319" s="89"/>
      <c r="I319" s="88"/>
      <c r="J319" s="88"/>
      <c r="K319" s="88"/>
      <c r="L319" s="88"/>
      <c r="M319" s="88"/>
      <c r="N319" s="88"/>
      <c r="O319" s="86"/>
      <c r="P319" s="86"/>
      <c r="Q319" s="14" t="e">
        <v>#N/A</v>
      </c>
      <c r="R319" s="14" t="e">
        <v>#N/A</v>
      </c>
      <c r="S319" s="14"/>
      <c r="T319" s="90"/>
      <c r="U319" s="14"/>
      <c r="V319" s="14"/>
      <c r="W319" s="14"/>
      <c r="X319" s="86"/>
      <c r="Y319" s="59">
        <f ca="1">Table24[[#This Row],[End Date]]+2-TODAY()</f>
        <v>-45816</v>
      </c>
      <c r="Z319" s="14">
        <f>IF(ISBLANK(Table24[[#This Row],[Roster Received By]]),1,0)</f>
        <v>1</v>
      </c>
      <c r="AA319" s="14">
        <f ca="1">IF(Table24[[#This Row],[Start Date]]&gt;TODAY(),1,)</f>
        <v>0</v>
      </c>
    </row>
    <row r="320" spans="1:27" s="52" customFormat="1" x14ac:dyDescent="0.25">
      <c r="B320" s="105"/>
      <c r="C320" s="87" t="e">
        <v>#N/A</v>
      </c>
      <c r="D320" s="87" t="e">
        <v>#N/A</v>
      </c>
      <c r="E320" s="86"/>
      <c r="F320" s="89"/>
      <c r="G320" s="89"/>
      <c r="H320" s="92"/>
      <c r="I320" s="92"/>
      <c r="J320" s="92"/>
      <c r="K320" s="92"/>
      <c r="L320" s="92"/>
      <c r="M320" s="92"/>
      <c r="N320" s="89"/>
      <c r="O320" s="86"/>
      <c r="P320" s="86"/>
      <c r="Q320" s="14" t="e">
        <v>#N/A</v>
      </c>
      <c r="R320" s="14" t="e">
        <v>#N/A</v>
      </c>
      <c r="S320" s="14"/>
      <c r="T320" s="90"/>
      <c r="U320" s="14"/>
      <c r="V320" s="14"/>
      <c r="W320" s="14"/>
      <c r="X320" s="86"/>
      <c r="Y320" s="59">
        <f ca="1">Table24[[#This Row],[End Date]]+2-TODAY()</f>
        <v>-45816</v>
      </c>
      <c r="Z320" s="14">
        <f>IF(ISBLANK(Table24[[#This Row],[Roster Received By]]),1,0)</f>
        <v>1</v>
      </c>
      <c r="AA320" s="14">
        <f ca="1">IF(Table24[[#This Row],[Start Date]]&gt;TODAY(),1,)</f>
        <v>0</v>
      </c>
    </row>
    <row r="321" spans="1:27" s="52" customFormat="1" x14ac:dyDescent="0.25">
      <c r="B321" s="105"/>
      <c r="C321" s="87" t="e">
        <v>#N/A</v>
      </c>
      <c r="D321" s="87" t="e">
        <v>#N/A</v>
      </c>
      <c r="E321" s="55"/>
      <c r="F321" s="97"/>
      <c r="G321" s="97"/>
      <c r="H321" s="92"/>
      <c r="I321" s="92"/>
      <c r="J321" s="89"/>
      <c r="K321" s="89"/>
      <c r="L321" s="89"/>
      <c r="M321" s="89"/>
      <c r="N321" s="89"/>
      <c r="O321" s="86"/>
      <c r="P321" s="86"/>
      <c r="Q321" s="14" t="e">
        <v>#N/A</v>
      </c>
      <c r="R321" s="14" t="e">
        <v>#N/A</v>
      </c>
      <c r="S321" s="14"/>
      <c r="T321" s="90"/>
      <c r="U321" s="14"/>
      <c r="V321" s="14"/>
      <c r="W321" s="14"/>
      <c r="X321" s="86"/>
      <c r="Y321" s="59">
        <f ca="1">Table24[[#This Row],[End Date]]+2-TODAY()</f>
        <v>-45816</v>
      </c>
      <c r="Z321" s="14">
        <f>IF(ISBLANK(Table24[[#This Row],[Roster Received By]]),1,0)</f>
        <v>1</v>
      </c>
      <c r="AA321" s="14">
        <f ca="1">IF(Table24[[#This Row],[Start Date]]&gt;TODAY(),1,)</f>
        <v>0</v>
      </c>
    </row>
    <row r="322" spans="1:27" s="52" customFormat="1" x14ac:dyDescent="0.25">
      <c r="B322" s="105"/>
      <c r="C322" s="87" t="e">
        <v>#N/A</v>
      </c>
      <c r="D322" s="87" t="e">
        <v>#N/A</v>
      </c>
      <c r="E322" s="103"/>
      <c r="F322" s="97"/>
      <c r="G322" s="97"/>
      <c r="H322" s="95"/>
      <c r="I322" s="95"/>
      <c r="J322" s="89"/>
      <c r="K322" s="89"/>
      <c r="L322" s="89"/>
      <c r="M322" s="89"/>
      <c r="N322" s="89"/>
      <c r="O322" s="86"/>
      <c r="P322" s="86"/>
      <c r="Q322" s="14" t="e">
        <v>#N/A</v>
      </c>
      <c r="R322" s="14" t="e">
        <v>#N/A</v>
      </c>
      <c r="S322" s="14"/>
      <c r="T322" s="90"/>
      <c r="U322" s="14"/>
      <c r="V322" s="14"/>
      <c r="W322" s="14"/>
      <c r="X322" s="86"/>
      <c r="Y322" s="59">
        <f ca="1">Table24[[#This Row],[End Date]]+2-TODAY()</f>
        <v>-45816</v>
      </c>
      <c r="Z322" s="14">
        <f>IF(ISBLANK(Table24[[#This Row],[Roster Received By]]),1,0)</f>
        <v>1</v>
      </c>
      <c r="AA322" s="14">
        <f ca="1">IF(Table24[[#This Row],[Start Date]]&gt;TODAY(),1,)</f>
        <v>0</v>
      </c>
    </row>
    <row r="323" spans="1:27" s="52" customFormat="1" x14ac:dyDescent="0.25">
      <c r="B323" s="105"/>
      <c r="C323" s="87" t="e">
        <v>#N/A</v>
      </c>
      <c r="D323" s="87" t="e">
        <v>#N/A</v>
      </c>
      <c r="E323" s="103"/>
      <c r="F323" s="97"/>
      <c r="G323" s="97"/>
      <c r="H323" s="89"/>
      <c r="I323" s="88"/>
      <c r="J323" s="88"/>
      <c r="K323" s="88"/>
      <c r="L323" s="88"/>
      <c r="M323" s="88"/>
      <c r="N323" s="88"/>
      <c r="O323" s="86"/>
      <c r="P323" s="86"/>
      <c r="Q323" s="14" t="e">
        <v>#N/A</v>
      </c>
      <c r="R323" s="14" t="e">
        <v>#N/A</v>
      </c>
      <c r="S323" s="14"/>
      <c r="T323" s="90"/>
      <c r="U323" s="14"/>
      <c r="V323" s="14"/>
      <c r="W323" s="14"/>
      <c r="X323" s="86"/>
      <c r="Y323" s="59">
        <f ca="1">Table24[[#This Row],[End Date]]+2-TODAY()</f>
        <v>-45816</v>
      </c>
      <c r="Z323" s="14">
        <f>IF(ISBLANK(Table24[[#This Row],[Roster Received By]]),1,0)</f>
        <v>1</v>
      </c>
      <c r="AA323" s="14">
        <f ca="1">IF(Table24[[#This Row],[Start Date]]&gt;TODAY(),1,)</f>
        <v>0</v>
      </c>
    </row>
    <row r="324" spans="1:27" s="52" customFormat="1" x14ac:dyDescent="0.25">
      <c r="A324" s="86"/>
      <c r="B324" s="105"/>
      <c r="C324" s="87" t="e">
        <v>#N/A</v>
      </c>
      <c r="D324" s="87" t="e">
        <v>#N/A</v>
      </c>
      <c r="E324" s="103"/>
      <c r="F324" s="97"/>
      <c r="G324" s="97"/>
      <c r="H324" s="92"/>
      <c r="I324" s="92"/>
      <c r="J324" s="89"/>
      <c r="K324" s="89"/>
      <c r="L324" s="89"/>
      <c r="M324" s="89"/>
      <c r="N324" s="89"/>
      <c r="O324" s="86"/>
      <c r="P324" s="86"/>
      <c r="Q324" s="14" t="e">
        <v>#N/A</v>
      </c>
      <c r="R324" s="14" t="e">
        <v>#N/A</v>
      </c>
      <c r="S324" s="14"/>
      <c r="T324" s="90"/>
      <c r="U324" s="14"/>
      <c r="V324" s="14"/>
      <c r="W324" s="90"/>
      <c r="X324" s="86"/>
      <c r="Y324" s="59">
        <f ca="1">Table24[[#This Row],[End Date]]+2-TODAY()</f>
        <v>-45816</v>
      </c>
      <c r="Z324" s="14">
        <f>IF(ISBLANK(Table24[[#This Row],[Roster Received By]]),1,0)</f>
        <v>1</v>
      </c>
      <c r="AA324" s="14">
        <f ca="1">IF(Table24[[#This Row],[Start Date]]&gt;TODAY(),1,)</f>
        <v>0</v>
      </c>
    </row>
    <row r="325" spans="1:27" s="52" customFormat="1" x14ac:dyDescent="0.25">
      <c r="B325" s="105"/>
      <c r="C325" s="87" t="e">
        <v>#N/A</v>
      </c>
      <c r="D325" s="87" t="e">
        <v>#N/A</v>
      </c>
      <c r="E325" s="103"/>
      <c r="F325" s="97"/>
      <c r="G325" s="97"/>
      <c r="H325" s="92"/>
      <c r="I325" s="92"/>
      <c r="J325" s="89"/>
      <c r="K325" s="89"/>
      <c r="L325" s="89"/>
      <c r="M325" s="89"/>
      <c r="N325" s="89"/>
      <c r="O325" s="86"/>
      <c r="P325" s="86"/>
      <c r="Q325" s="14" t="e">
        <v>#N/A</v>
      </c>
      <c r="R325" s="14" t="e">
        <v>#N/A</v>
      </c>
      <c r="S325" s="14"/>
      <c r="T325" s="90"/>
      <c r="U325" s="14"/>
      <c r="V325" s="14"/>
      <c r="W325" s="14"/>
      <c r="X325" s="86"/>
      <c r="Y325" s="59">
        <f ca="1">Table24[[#This Row],[End Date]]+2-TODAY()</f>
        <v>-45816</v>
      </c>
      <c r="Z325" s="14">
        <f>IF(ISBLANK(Table24[[#This Row],[Roster Received By]]),1,0)</f>
        <v>1</v>
      </c>
      <c r="AA325" s="14">
        <f ca="1">IF(Table24[[#This Row],[Start Date]]&gt;TODAY(),1,)</f>
        <v>0</v>
      </c>
    </row>
    <row r="326" spans="1:27" s="52" customFormat="1" x14ac:dyDescent="0.25">
      <c r="B326" s="105"/>
      <c r="C326" s="87" t="e">
        <v>#N/A</v>
      </c>
      <c r="D326" s="87" t="e">
        <v>#N/A</v>
      </c>
      <c r="E326" s="103"/>
      <c r="F326" s="97"/>
      <c r="G326" s="97"/>
      <c r="H326" s="89"/>
      <c r="I326" s="88"/>
      <c r="J326" s="88"/>
      <c r="K326" s="88"/>
      <c r="L326" s="88"/>
      <c r="M326" s="88"/>
      <c r="N326" s="88"/>
      <c r="O326" s="86"/>
      <c r="P326" s="86"/>
      <c r="Q326" s="14" t="e">
        <v>#N/A</v>
      </c>
      <c r="R326" s="14" t="e">
        <v>#N/A</v>
      </c>
      <c r="S326" s="14"/>
      <c r="T326" s="90"/>
      <c r="U326" s="14"/>
      <c r="V326" s="14"/>
      <c r="W326" s="87"/>
      <c r="X326" s="86"/>
      <c r="Y326" s="59">
        <f ca="1">Table24[[#This Row],[End Date]]+2-TODAY()</f>
        <v>-45816</v>
      </c>
      <c r="Z326" s="14">
        <f>IF(ISBLANK(Table24[[#This Row],[Roster Received By]]),1,0)</f>
        <v>1</v>
      </c>
      <c r="AA326" s="14">
        <f ca="1">IF(Table24[[#This Row],[Start Date]]&gt;TODAY(),1,)</f>
        <v>0</v>
      </c>
    </row>
    <row r="327" spans="1:27" s="52" customFormat="1" x14ac:dyDescent="0.25">
      <c r="B327" s="105"/>
      <c r="C327" s="87" t="e">
        <v>#N/A</v>
      </c>
      <c r="D327" s="87" t="e">
        <v>#N/A</v>
      </c>
      <c r="E327" s="86"/>
      <c r="F327" s="97"/>
      <c r="G327" s="97"/>
      <c r="H327" s="89"/>
      <c r="I327" s="88"/>
      <c r="J327" s="88"/>
      <c r="K327" s="88"/>
      <c r="L327" s="88"/>
      <c r="M327" s="88"/>
      <c r="N327" s="88"/>
      <c r="O327" s="86"/>
      <c r="P327" s="86"/>
      <c r="Q327" s="14" t="e">
        <v>#N/A</v>
      </c>
      <c r="R327" s="14" t="e">
        <v>#N/A</v>
      </c>
      <c r="S327" s="14"/>
      <c r="T327" s="90"/>
      <c r="U327" s="14"/>
      <c r="V327" s="14"/>
      <c r="W327" s="14"/>
      <c r="X327" s="86"/>
      <c r="Y327" s="59">
        <f ca="1">Table24[[#This Row],[End Date]]+2-TODAY()</f>
        <v>-45816</v>
      </c>
      <c r="Z327" s="14">
        <f>IF(ISBLANK(Table24[[#This Row],[Roster Received By]]),1,0)</f>
        <v>1</v>
      </c>
      <c r="AA327" s="14">
        <f ca="1">IF(Table24[[#This Row],[Start Date]]&gt;TODAY(),1,)</f>
        <v>0</v>
      </c>
    </row>
    <row r="328" spans="1:27" s="52" customFormat="1" x14ac:dyDescent="0.25">
      <c r="B328" s="106"/>
      <c r="C328" s="87" t="e">
        <v>#N/A</v>
      </c>
      <c r="D328" s="87" t="e">
        <v>#N/A</v>
      </c>
      <c r="E328" s="103"/>
      <c r="F328" s="85"/>
      <c r="G328" s="85"/>
      <c r="H328" s="56"/>
      <c r="I328" s="88"/>
      <c r="J328" s="88"/>
      <c r="K328" s="88"/>
      <c r="L328" s="88"/>
      <c r="M328" s="88"/>
      <c r="N328" s="88"/>
      <c r="O328" s="86"/>
      <c r="P328" s="86"/>
      <c r="Q328" s="14" t="e">
        <v>#N/A</v>
      </c>
      <c r="R328" s="14" t="e">
        <v>#N/A</v>
      </c>
      <c r="S328" s="14"/>
      <c r="T328" s="90"/>
      <c r="U328" s="14"/>
      <c r="V328" s="14"/>
      <c r="W328" s="14"/>
      <c r="X328" s="86"/>
      <c r="Y328" s="59">
        <f ca="1">Table24[[#This Row],[End Date]]+2-TODAY()</f>
        <v>-45816</v>
      </c>
      <c r="Z328" s="14">
        <f>IF(ISBLANK(Table24[[#This Row],[Roster Received By]]),1,0)</f>
        <v>1</v>
      </c>
      <c r="AA328" s="14">
        <f ca="1">IF(Table24[[#This Row],[Start Date]]&gt;TODAY(),1,)</f>
        <v>0</v>
      </c>
    </row>
    <row r="329" spans="1:27" s="52" customFormat="1" x14ac:dyDescent="0.25">
      <c r="A329" s="86"/>
      <c r="B329" s="105"/>
      <c r="C329" s="87" t="e">
        <v>#N/A</v>
      </c>
      <c r="D329" s="87" t="e">
        <v>#N/A</v>
      </c>
      <c r="E329" s="103"/>
      <c r="F329" s="97"/>
      <c r="G329" s="97"/>
      <c r="H329" s="89"/>
      <c r="I329" s="88"/>
      <c r="J329" s="88"/>
      <c r="K329" s="88"/>
      <c r="L329" s="88"/>
      <c r="M329" s="88"/>
      <c r="N329" s="88"/>
      <c r="O329" s="86"/>
      <c r="P329" s="86"/>
      <c r="Q329" s="14" t="e">
        <v>#N/A</v>
      </c>
      <c r="R329" s="14" t="e">
        <v>#N/A</v>
      </c>
      <c r="S329" s="14"/>
      <c r="T329" s="90"/>
      <c r="U329" s="14"/>
      <c r="V329" s="14"/>
      <c r="W329" s="14"/>
      <c r="X329" s="86"/>
      <c r="Y329" s="59">
        <f ca="1">Table24[[#This Row],[End Date]]+2-TODAY()</f>
        <v>-45816</v>
      </c>
      <c r="Z329" s="14">
        <f>IF(ISBLANK(Table24[[#This Row],[Roster Received By]]),1,0)</f>
        <v>1</v>
      </c>
      <c r="AA329" s="14">
        <f ca="1">IF(Table24[[#This Row],[Start Date]]&gt;TODAY(),1,)</f>
        <v>0</v>
      </c>
    </row>
    <row r="330" spans="1:27" s="52" customFormat="1" x14ac:dyDescent="0.25">
      <c r="B330" s="105"/>
      <c r="C330" s="87" t="e">
        <v>#N/A</v>
      </c>
      <c r="D330" s="87" t="e">
        <v>#N/A</v>
      </c>
      <c r="E330" s="105"/>
      <c r="F330" s="97"/>
      <c r="G330" s="97"/>
      <c r="H330" s="89"/>
      <c r="I330" s="88"/>
      <c r="J330" s="88"/>
      <c r="K330" s="88"/>
      <c r="L330" s="88"/>
      <c r="M330" s="88"/>
      <c r="N330" s="88"/>
      <c r="O330" s="86"/>
      <c r="P330" s="86"/>
      <c r="Q330" s="14" t="e">
        <v>#N/A</v>
      </c>
      <c r="R330" s="14" t="e">
        <v>#N/A</v>
      </c>
      <c r="S330" s="14"/>
      <c r="T330" s="90"/>
      <c r="U330" s="14"/>
      <c r="V330" s="14"/>
      <c r="W330" s="14"/>
      <c r="X330" s="86"/>
      <c r="Y330" s="59">
        <f ca="1">Table24[[#This Row],[End Date]]+2-TODAY()</f>
        <v>-45816</v>
      </c>
      <c r="Z330" s="14">
        <f>IF(ISBLANK(Table24[[#This Row],[Roster Received By]]),1,0)</f>
        <v>1</v>
      </c>
      <c r="AA330" s="14">
        <f ca="1">IF(Table24[[#This Row],[Start Date]]&gt;TODAY(),1,)</f>
        <v>0</v>
      </c>
    </row>
    <row r="331" spans="1:27" s="52" customFormat="1" x14ac:dyDescent="0.25">
      <c r="B331" s="105"/>
      <c r="C331" s="87" t="e">
        <v>#N/A</v>
      </c>
      <c r="D331" s="87" t="e">
        <v>#N/A</v>
      </c>
      <c r="E331" s="105"/>
      <c r="F331" s="97"/>
      <c r="G331" s="97"/>
      <c r="H331" s="89"/>
      <c r="I331" s="88"/>
      <c r="J331" s="88"/>
      <c r="K331" s="88"/>
      <c r="L331" s="88"/>
      <c r="M331" s="88"/>
      <c r="N331" s="88"/>
      <c r="O331" s="86"/>
      <c r="P331" s="86"/>
      <c r="Q331" s="14" t="e">
        <v>#N/A</v>
      </c>
      <c r="R331" s="14" t="e">
        <v>#N/A</v>
      </c>
      <c r="S331" s="14"/>
      <c r="T331" s="90"/>
      <c r="U331" s="14"/>
      <c r="V331" s="14"/>
      <c r="W331" s="14"/>
      <c r="X331" s="86"/>
      <c r="Y331" s="59">
        <f ca="1">Table24[[#This Row],[End Date]]+2-TODAY()</f>
        <v>-45816</v>
      </c>
      <c r="Z331" s="14">
        <f>IF(ISBLANK(Table24[[#This Row],[Roster Received By]]),1,0)</f>
        <v>1</v>
      </c>
      <c r="AA331" s="14">
        <f ca="1">IF(Table24[[#This Row],[Start Date]]&gt;TODAY(),1,)</f>
        <v>0</v>
      </c>
    </row>
    <row r="332" spans="1:27" s="52" customFormat="1" x14ac:dyDescent="0.25">
      <c r="B332" s="105"/>
      <c r="C332" s="87" t="e">
        <v>#N/A</v>
      </c>
      <c r="D332" s="87" t="e">
        <v>#N/A</v>
      </c>
      <c r="E332" s="105"/>
      <c r="F332" s="97"/>
      <c r="G332" s="97"/>
      <c r="H332" s="89"/>
      <c r="I332" s="88"/>
      <c r="J332" s="88"/>
      <c r="K332" s="88"/>
      <c r="L332" s="88"/>
      <c r="M332" s="88"/>
      <c r="N332" s="88"/>
      <c r="O332" s="86"/>
      <c r="P332" s="86"/>
      <c r="Q332" s="14" t="e">
        <v>#N/A</v>
      </c>
      <c r="R332" s="14" t="e">
        <v>#N/A</v>
      </c>
      <c r="S332" s="14"/>
      <c r="T332" s="90"/>
      <c r="U332" s="14"/>
      <c r="V332" s="14"/>
      <c r="W332" s="14"/>
      <c r="X332" s="86"/>
      <c r="Y332" s="59">
        <f ca="1">Table24[[#This Row],[End Date]]+2-TODAY()</f>
        <v>-45816</v>
      </c>
      <c r="Z332" s="14">
        <f>IF(ISBLANK(Table24[[#This Row],[Roster Received By]]),1,0)</f>
        <v>1</v>
      </c>
      <c r="AA332" s="14">
        <f ca="1">IF(Table24[[#This Row],[Start Date]]&gt;TODAY(),1,)</f>
        <v>0</v>
      </c>
    </row>
    <row r="333" spans="1:27" s="93" customFormat="1" ht="15.75" customHeight="1" x14ac:dyDescent="0.25">
      <c r="A333" s="52"/>
      <c r="B333" s="105"/>
      <c r="C333" s="87" t="e">
        <v>#N/A</v>
      </c>
      <c r="D333" s="87" t="e">
        <v>#N/A</v>
      </c>
      <c r="E333" s="116"/>
      <c r="F333" s="97"/>
      <c r="G333" s="97"/>
      <c r="H333" s="92"/>
      <c r="I333" s="92"/>
      <c r="J333" s="92"/>
      <c r="K333" s="92"/>
      <c r="L333" s="92"/>
      <c r="M333" s="92"/>
      <c r="N333" s="89"/>
      <c r="O333" s="86"/>
      <c r="P333" s="86"/>
      <c r="Q333" s="14" t="e">
        <v>#N/A</v>
      </c>
      <c r="R333" s="14" t="e">
        <v>#N/A</v>
      </c>
      <c r="S333" s="14"/>
      <c r="T333" s="90"/>
      <c r="U333" s="14"/>
      <c r="V333" s="14"/>
      <c r="W333" s="14"/>
      <c r="X333" s="86"/>
      <c r="Y333" s="59">
        <f ca="1">Table24[[#This Row],[End Date]]+2-TODAY()</f>
        <v>-45816</v>
      </c>
      <c r="Z333" s="14">
        <f>IF(ISBLANK(Table24[[#This Row],[Roster Received By]]),1,0)</f>
        <v>1</v>
      </c>
      <c r="AA333" s="14">
        <f ca="1">IF(Table24[[#This Row],[Start Date]]&gt;TODAY(),1,)</f>
        <v>0</v>
      </c>
    </row>
    <row r="334" spans="1:27" s="93" customFormat="1" ht="15.75" customHeight="1" x14ac:dyDescent="0.25">
      <c r="A334" s="86"/>
      <c r="B334" s="105"/>
      <c r="C334" s="87" t="e">
        <v>#N/A</v>
      </c>
      <c r="D334" s="87" t="e">
        <v>#N/A</v>
      </c>
      <c r="E334" s="116"/>
      <c r="F334" s="97"/>
      <c r="G334" s="97"/>
      <c r="H334" s="92"/>
      <c r="I334" s="92"/>
      <c r="J334" s="89"/>
      <c r="K334" s="89"/>
      <c r="L334" s="89"/>
      <c r="M334" s="89"/>
      <c r="N334" s="89"/>
      <c r="O334" s="86"/>
      <c r="P334" s="86"/>
      <c r="Q334" s="14" t="e">
        <v>#N/A</v>
      </c>
      <c r="R334" s="14" t="e">
        <v>#N/A</v>
      </c>
      <c r="S334" s="14"/>
      <c r="T334" s="90"/>
      <c r="U334" s="14"/>
      <c r="V334" s="14"/>
      <c r="W334" s="14"/>
      <c r="X334" s="86"/>
      <c r="Y334" s="59">
        <f ca="1">Table24[[#This Row],[End Date]]+2-TODAY()</f>
        <v>-45816</v>
      </c>
      <c r="Z334" s="14">
        <f>IF(ISBLANK(Table24[[#This Row],[Roster Received By]]),1,0)</f>
        <v>1</v>
      </c>
      <c r="AA334" s="14">
        <f ca="1">IF(Table24[[#This Row],[Start Date]]&gt;TODAY(),1,)</f>
        <v>0</v>
      </c>
    </row>
    <row r="335" spans="1:27" s="93" customFormat="1" ht="15.75" customHeight="1" x14ac:dyDescent="0.25">
      <c r="A335" s="52"/>
      <c r="B335" s="105"/>
      <c r="C335" s="87" t="e">
        <v>#N/A</v>
      </c>
      <c r="D335" s="87" t="e">
        <v>#N/A</v>
      </c>
      <c r="E335" s="105"/>
      <c r="F335" s="97"/>
      <c r="G335" s="97"/>
      <c r="H335" s="89"/>
      <c r="I335" s="88"/>
      <c r="J335" s="88"/>
      <c r="K335" s="88"/>
      <c r="L335" s="88"/>
      <c r="M335" s="88"/>
      <c r="N335" s="88"/>
      <c r="O335" s="86"/>
      <c r="P335" s="86"/>
      <c r="Q335" s="14" t="e">
        <v>#N/A</v>
      </c>
      <c r="R335" s="14" t="e">
        <v>#N/A</v>
      </c>
      <c r="S335" s="14"/>
      <c r="T335" s="90"/>
      <c r="U335" s="14"/>
      <c r="V335" s="14"/>
      <c r="W335" s="94"/>
      <c r="X335" s="86"/>
      <c r="Y335" s="59">
        <f ca="1">Table24[[#This Row],[End Date]]+2-TODAY()</f>
        <v>-45816</v>
      </c>
      <c r="Z335" s="14">
        <f>IF(ISBLANK(Table24[[#This Row],[Roster Received By]]),1,0)</f>
        <v>1</v>
      </c>
      <c r="AA335" s="14">
        <f ca="1">IF(Table24[[#This Row],[Start Date]]&gt;TODAY(),1,)</f>
        <v>0</v>
      </c>
    </row>
    <row r="336" spans="1:27" s="93" customFormat="1" ht="15.75" customHeight="1" x14ac:dyDescent="0.25">
      <c r="A336" s="52"/>
      <c r="B336" s="105"/>
      <c r="C336" s="87" t="e">
        <v>#N/A</v>
      </c>
      <c r="D336" s="87" t="e">
        <v>#N/A</v>
      </c>
      <c r="E336" s="105"/>
      <c r="F336" s="97"/>
      <c r="G336" s="97"/>
      <c r="H336" s="92"/>
      <c r="I336" s="92"/>
      <c r="J336" s="92"/>
      <c r="K336" s="92"/>
      <c r="L336" s="92"/>
      <c r="M336" s="92"/>
      <c r="N336" s="89"/>
      <c r="O336" s="86"/>
      <c r="P336" s="86"/>
      <c r="Q336" s="14" t="e">
        <v>#N/A</v>
      </c>
      <c r="R336" s="14" t="e">
        <v>#N/A</v>
      </c>
      <c r="S336" s="14"/>
      <c r="T336" s="90"/>
      <c r="U336" s="14"/>
      <c r="V336" s="14"/>
      <c r="W336" s="14"/>
      <c r="X336" s="86"/>
      <c r="Y336" s="59">
        <f ca="1">Table24[[#This Row],[End Date]]+2-TODAY()</f>
        <v>-45816</v>
      </c>
      <c r="Z336" s="14">
        <f>IF(ISBLANK(Table24[[#This Row],[Roster Received By]]),1,0)</f>
        <v>1</v>
      </c>
      <c r="AA336" s="14">
        <f ca="1">IF(Table24[[#This Row],[Start Date]]&gt;TODAY(),1,)</f>
        <v>0</v>
      </c>
    </row>
    <row r="337" spans="1:27" s="93" customFormat="1" ht="15.75" customHeight="1" x14ac:dyDescent="0.25">
      <c r="A337" s="52"/>
      <c r="B337" s="103"/>
      <c r="C337" s="87" t="e">
        <v>#N/A</v>
      </c>
      <c r="D337" s="87" t="e">
        <v>#N/A</v>
      </c>
      <c r="E337" s="103"/>
      <c r="F337" s="97"/>
      <c r="G337" s="97"/>
      <c r="H337" s="95"/>
      <c r="I337" s="95"/>
      <c r="J337" s="89"/>
      <c r="K337" s="89"/>
      <c r="L337" s="89"/>
      <c r="M337" s="89"/>
      <c r="N337" s="89"/>
      <c r="O337" s="86"/>
      <c r="P337" s="86"/>
      <c r="Q337" s="14" t="e">
        <v>#N/A</v>
      </c>
      <c r="R337" s="14" t="e">
        <v>#N/A</v>
      </c>
      <c r="S337" s="14"/>
      <c r="T337" s="90"/>
      <c r="U337" s="14"/>
      <c r="V337" s="14"/>
      <c r="W337" s="87"/>
      <c r="X337" s="86"/>
      <c r="Y337" s="59">
        <f ca="1">Table24[[#This Row],[End Date]]+2-TODAY()</f>
        <v>-45816</v>
      </c>
      <c r="Z337" s="14">
        <f>IF(ISBLANK(Table24[[#This Row],[Roster Received By]]),1,0)</f>
        <v>1</v>
      </c>
      <c r="AA337" s="14">
        <f ca="1">IF(Table24[[#This Row],[Start Date]]&gt;TODAY(),1,)</f>
        <v>0</v>
      </c>
    </row>
    <row r="338" spans="1:27" s="93" customFormat="1" ht="15.75" customHeight="1" x14ac:dyDescent="0.25">
      <c r="A338" s="52"/>
      <c r="B338" s="103"/>
      <c r="C338" s="87" t="e">
        <v>#N/A</v>
      </c>
      <c r="D338" s="87" t="e">
        <v>#N/A</v>
      </c>
      <c r="E338" s="86"/>
      <c r="F338" s="97"/>
      <c r="G338" s="97"/>
      <c r="H338" s="95"/>
      <c r="I338" s="95"/>
      <c r="J338" s="89"/>
      <c r="K338" s="89"/>
      <c r="L338" s="89"/>
      <c r="M338" s="89"/>
      <c r="N338" s="89"/>
      <c r="O338" s="86"/>
      <c r="P338" s="86"/>
      <c r="Q338" s="14" t="e">
        <v>#N/A</v>
      </c>
      <c r="R338" s="14" t="e">
        <v>#N/A</v>
      </c>
      <c r="S338" s="14"/>
      <c r="T338" s="90"/>
      <c r="U338" s="14"/>
      <c r="V338" s="14"/>
      <c r="W338" s="14"/>
      <c r="X338" s="86"/>
      <c r="Y338" s="59">
        <f ca="1">Table24[[#This Row],[End Date]]+2-TODAY()</f>
        <v>-45816</v>
      </c>
      <c r="Z338" s="14">
        <f>IF(ISBLANK(Table24[[#This Row],[Roster Received By]]),1,0)</f>
        <v>1</v>
      </c>
      <c r="AA338" s="14">
        <f ca="1">IF(Table24[[#This Row],[Start Date]]&gt;TODAY(),1,)</f>
        <v>0</v>
      </c>
    </row>
    <row r="339" spans="1:27" s="93" customFormat="1" ht="15.75" customHeight="1" x14ac:dyDescent="0.25">
      <c r="A339" s="52"/>
      <c r="B339" s="105"/>
      <c r="C339" s="87" t="e">
        <v>#N/A</v>
      </c>
      <c r="D339" s="87" t="e">
        <v>#N/A</v>
      </c>
      <c r="E339" s="103"/>
      <c r="F339" s="97"/>
      <c r="G339" s="97"/>
      <c r="H339" s="89"/>
      <c r="I339" s="88"/>
      <c r="J339" s="88"/>
      <c r="K339" s="88"/>
      <c r="L339" s="88"/>
      <c r="M339" s="88"/>
      <c r="N339" s="88"/>
      <c r="O339" s="86"/>
      <c r="P339" s="86"/>
      <c r="Q339" s="14" t="e">
        <v>#N/A</v>
      </c>
      <c r="R339" s="14" t="e">
        <v>#N/A</v>
      </c>
      <c r="S339" s="14"/>
      <c r="T339" s="90"/>
      <c r="U339" s="14"/>
      <c r="V339" s="14"/>
      <c r="W339" s="14"/>
      <c r="X339" s="86"/>
      <c r="Y339" s="59">
        <f ca="1">Table24[[#This Row],[End Date]]+2-TODAY()</f>
        <v>-45816</v>
      </c>
      <c r="Z339" s="14">
        <f>IF(ISBLANK(Table24[[#This Row],[Roster Received By]]),1,0)</f>
        <v>1</v>
      </c>
      <c r="AA339" s="14">
        <f ca="1">IF(Table24[[#This Row],[Start Date]]&gt;TODAY(),1,)</f>
        <v>0</v>
      </c>
    </row>
    <row r="340" spans="1:27" s="93" customFormat="1" ht="15.75" customHeight="1" x14ac:dyDescent="0.25">
      <c r="A340" s="52"/>
      <c r="B340" s="103"/>
      <c r="C340" s="87" t="e">
        <v>#N/A</v>
      </c>
      <c r="D340" s="87" t="e">
        <v>#N/A</v>
      </c>
      <c r="E340" s="103"/>
      <c r="F340" s="107"/>
      <c r="G340" s="108"/>
      <c r="H340" s="95"/>
      <c r="I340" s="95"/>
      <c r="J340" s="89"/>
      <c r="K340" s="89"/>
      <c r="L340" s="89"/>
      <c r="M340" s="89"/>
      <c r="N340" s="89"/>
      <c r="O340" s="86"/>
      <c r="P340" s="86"/>
      <c r="Q340" s="14" t="e">
        <v>#N/A</v>
      </c>
      <c r="R340" s="14" t="e">
        <v>#N/A</v>
      </c>
      <c r="S340" s="14"/>
      <c r="T340" s="90"/>
      <c r="U340" s="14"/>
      <c r="V340" s="14"/>
      <c r="W340" s="14"/>
      <c r="X340" s="86"/>
      <c r="Y340" s="59">
        <f ca="1">Table24[[#This Row],[End Date]]+2-TODAY()</f>
        <v>-45816</v>
      </c>
      <c r="Z340" s="14">
        <f>IF(ISBLANK(Table24[[#This Row],[Roster Received By]]),1,0)</f>
        <v>1</v>
      </c>
      <c r="AA340" s="14">
        <f ca="1">IF(Table24[[#This Row],[Start Date]]&gt;TODAY(),1,)</f>
        <v>0</v>
      </c>
    </row>
    <row r="341" spans="1:27" s="93" customFormat="1" ht="15.75" customHeight="1" x14ac:dyDescent="0.25">
      <c r="A341" s="86"/>
      <c r="B341" s="103"/>
      <c r="C341" s="87" t="e">
        <v>#N/A</v>
      </c>
      <c r="D341" s="87" t="e">
        <v>#N/A</v>
      </c>
      <c r="E341" s="103"/>
      <c r="F341" s="119"/>
      <c r="G341" s="119"/>
      <c r="H341" s="95"/>
      <c r="I341" s="95"/>
      <c r="J341" s="89"/>
      <c r="K341" s="89"/>
      <c r="L341" s="89"/>
      <c r="M341" s="89"/>
      <c r="N341" s="89"/>
      <c r="O341" s="86"/>
      <c r="P341" s="86"/>
      <c r="Q341" s="14" t="e">
        <v>#N/A</v>
      </c>
      <c r="R341" s="14" t="e">
        <v>#N/A</v>
      </c>
      <c r="S341" s="14"/>
      <c r="T341" s="90"/>
      <c r="U341" s="14"/>
      <c r="V341" s="14"/>
      <c r="W341" s="14"/>
      <c r="X341" s="86"/>
      <c r="Y341" s="59">
        <f ca="1">Table24[[#This Row],[End Date]]+2-TODAY()</f>
        <v>-45816</v>
      </c>
      <c r="Z341" s="14">
        <f>IF(ISBLANK(Table24[[#This Row],[Roster Received By]]),1,0)</f>
        <v>1</v>
      </c>
      <c r="AA341" s="14">
        <f ca="1">IF(Table24[[#This Row],[Start Date]]&gt;TODAY(),1,)</f>
        <v>0</v>
      </c>
    </row>
    <row r="342" spans="1:27" s="93" customFormat="1" ht="15.75" customHeight="1" x14ac:dyDescent="0.25">
      <c r="A342" s="52"/>
      <c r="B342" s="103"/>
      <c r="C342" s="87" t="e">
        <v>#N/A</v>
      </c>
      <c r="D342" s="87" t="e">
        <v>#N/A</v>
      </c>
      <c r="E342" s="55"/>
      <c r="F342" s="120"/>
      <c r="G342" s="120"/>
      <c r="H342" s="88"/>
      <c r="I342" s="88"/>
      <c r="J342" s="89"/>
      <c r="K342" s="89"/>
      <c r="L342" s="89"/>
      <c r="M342" s="89"/>
      <c r="N342" s="89"/>
      <c r="O342" s="86"/>
      <c r="P342" s="86"/>
      <c r="Q342" s="14" t="e">
        <v>#N/A</v>
      </c>
      <c r="R342" s="14" t="e">
        <v>#N/A</v>
      </c>
      <c r="S342" s="14"/>
      <c r="T342" s="90"/>
      <c r="U342" s="14"/>
      <c r="V342" s="14"/>
      <c r="W342" s="14"/>
      <c r="X342" s="86"/>
      <c r="Y342" s="59">
        <f ca="1">Table24[[#This Row],[End Date]]+2-TODAY()</f>
        <v>-45816</v>
      </c>
      <c r="Z342" s="14">
        <f>IF(ISBLANK(Table24[[#This Row],[Roster Received By]]),1,0)</f>
        <v>1</v>
      </c>
      <c r="AA342" s="14">
        <f ca="1">IF(Table24[[#This Row],[Start Date]]&gt;TODAY(),1,)</f>
        <v>0</v>
      </c>
    </row>
    <row r="343" spans="1:27" s="93" customFormat="1" ht="15.75" customHeight="1" x14ac:dyDescent="0.25">
      <c r="A343" s="86"/>
      <c r="B343" s="105"/>
      <c r="C343" s="87" t="e">
        <v>#N/A</v>
      </c>
      <c r="D343" s="87" t="e">
        <v>#N/A</v>
      </c>
      <c r="E343" s="103"/>
      <c r="F343" s="119"/>
      <c r="G343" s="119"/>
      <c r="H343" s="89"/>
      <c r="I343" s="88"/>
      <c r="J343" s="88"/>
      <c r="K343" s="88"/>
      <c r="L343" s="88"/>
      <c r="M343" s="88"/>
      <c r="N343" s="88"/>
      <c r="O343" s="86"/>
      <c r="P343" s="86"/>
      <c r="Q343" s="14" t="e">
        <v>#N/A</v>
      </c>
      <c r="R343" s="14" t="e">
        <v>#N/A</v>
      </c>
      <c r="S343" s="14"/>
      <c r="T343" s="90"/>
      <c r="U343" s="14"/>
      <c r="V343" s="14"/>
      <c r="W343" s="14"/>
      <c r="X343" s="86"/>
      <c r="Y343" s="59">
        <f ca="1">Table24[[#This Row],[End Date]]+2-TODAY()</f>
        <v>-45816</v>
      </c>
      <c r="Z343" s="14">
        <f>IF(ISBLANK(Table24[[#This Row],[Roster Received By]]),1,0)</f>
        <v>1</v>
      </c>
      <c r="AA343" s="14">
        <f ca="1">IF(Table24[[#This Row],[Start Date]]&gt;TODAY(),1,)</f>
        <v>0</v>
      </c>
    </row>
    <row r="344" spans="1:27" s="93" customFormat="1" ht="15.75" customHeight="1" x14ac:dyDescent="0.25">
      <c r="A344" s="86"/>
      <c r="B344" s="103"/>
      <c r="C344" s="87" t="e">
        <v>#N/A</v>
      </c>
      <c r="D344" s="87" t="e">
        <v>#N/A</v>
      </c>
      <c r="E344" s="103"/>
      <c r="F344" s="119"/>
      <c r="G344" s="119"/>
      <c r="H344" s="92"/>
      <c r="I344" s="92"/>
      <c r="J344" s="89"/>
      <c r="K344" s="89"/>
      <c r="L344" s="89"/>
      <c r="M344" s="89"/>
      <c r="N344" s="89"/>
      <c r="O344" s="86"/>
      <c r="P344" s="86"/>
      <c r="Q344" s="14" t="e">
        <v>#N/A</v>
      </c>
      <c r="R344" s="14" t="e">
        <v>#N/A</v>
      </c>
      <c r="S344" s="14"/>
      <c r="T344" s="90"/>
      <c r="U344" s="14"/>
      <c r="V344" s="14"/>
      <c r="W344" s="14"/>
      <c r="X344" s="86"/>
      <c r="Y344" s="59">
        <f ca="1">Table24[[#This Row],[End Date]]+2-TODAY()</f>
        <v>-45816</v>
      </c>
      <c r="Z344" s="14">
        <f>IF(ISBLANK(Table24[[#This Row],[Roster Received By]]),1,0)</f>
        <v>1</v>
      </c>
      <c r="AA344" s="14">
        <f ca="1">IF(Table24[[#This Row],[Start Date]]&gt;TODAY(),1,)</f>
        <v>0</v>
      </c>
    </row>
    <row r="345" spans="1:27" s="93" customFormat="1" ht="15.75" customHeight="1" x14ac:dyDescent="0.25">
      <c r="A345" s="52"/>
      <c r="B345" s="103"/>
      <c r="C345" s="87" t="e">
        <v>#N/A</v>
      </c>
      <c r="D345" s="87" t="e">
        <v>#N/A</v>
      </c>
      <c r="E345" s="55"/>
      <c r="F345" s="119"/>
      <c r="G345" s="119"/>
      <c r="H345" s="92"/>
      <c r="I345" s="92"/>
      <c r="J345" s="89"/>
      <c r="K345" s="89"/>
      <c r="L345" s="89"/>
      <c r="M345" s="89"/>
      <c r="N345" s="89"/>
      <c r="O345" s="86"/>
      <c r="P345" s="86"/>
      <c r="Q345" s="14" t="e">
        <v>#N/A</v>
      </c>
      <c r="R345" s="14" t="e">
        <v>#N/A</v>
      </c>
      <c r="S345" s="14"/>
      <c r="T345" s="90"/>
      <c r="U345" s="14"/>
      <c r="V345" s="14"/>
      <c r="W345" s="14"/>
      <c r="X345" s="86"/>
      <c r="Y345" s="59">
        <f ca="1">Table24[[#This Row],[End Date]]+2-TODAY()</f>
        <v>-45816</v>
      </c>
      <c r="Z345" s="14">
        <f>IF(ISBLANK(Table24[[#This Row],[Roster Received By]]),1,0)</f>
        <v>1</v>
      </c>
      <c r="AA345" s="14">
        <f ca="1">IF(Table24[[#This Row],[Start Date]]&gt;TODAY(),1,)</f>
        <v>0</v>
      </c>
    </row>
    <row r="346" spans="1:27" s="93" customFormat="1" ht="15.75" customHeight="1" x14ac:dyDescent="0.25">
      <c r="A346" s="52"/>
      <c r="B346" s="103"/>
      <c r="C346" s="87" t="e">
        <v>#N/A</v>
      </c>
      <c r="D346" s="87" t="e">
        <v>#N/A</v>
      </c>
      <c r="E346" s="55"/>
      <c r="F346" s="85"/>
      <c r="G346" s="85"/>
      <c r="H346" s="88"/>
      <c r="I346" s="88"/>
      <c r="J346" s="89"/>
      <c r="K346" s="89"/>
      <c r="L346" s="89"/>
      <c r="M346" s="89"/>
      <c r="N346" s="89"/>
      <c r="O346" s="86"/>
      <c r="P346" s="86"/>
      <c r="Q346" s="14" t="e">
        <v>#N/A</v>
      </c>
      <c r="R346" s="14" t="e">
        <v>#N/A</v>
      </c>
      <c r="S346" s="14"/>
      <c r="T346" s="90"/>
      <c r="U346" s="14"/>
      <c r="V346" s="14"/>
      <c r="W346" s="14"/>
      <c r="X346" s="86"/>
      <c r="Y346" s="59">
        <f ca="1">Table24[[#This Row],[End Date]]+2-TODAY()</f>
        <v>-45816</v>
      </c>
      <c r="Z346" s="14">
        <f>IF(ISBLANK(Table24[[#This Row],[Roster Received By]]),1,0)</f>
        <v>1</v>
      </c>
      <c r="AA346" s="14">
        <f ca="1">IF(Table24[[#This Row],[Start Date]]&gt;TODAY(),1,)</f>
        <v>0</v>
      </c>
    </row>
    <row r="347" spans="1:27" s="93" customFormat="1" ht="15.75" customHeight="1" x14ac:dyDescent="0.25">
      <c r="A347" s="52"/>
      <c r="B347" s="103"/>
      <c r="C347" s="87" t="e">
        <v>#N/A</v>
      </c>
      <c r="D347" s="87" t="e">
        <v>#N/A</v>
      </c>
      <c r="E347" s="103"/>
      <c r="F347" s="97"/>
      <c r="G347" s="97"/>
      <c r="H347" s="89"/>
      <c r="I347" s="88"/>
      <c r="J347" s="88"/>
      <c r="K347" s="88"/>
      <c r="L347" s="88"/>
      <c r="M347" s="88"/>
      <c r="N347" s="88"/>
      <c r="O347" s="86"/>
      <c r="P347" s="86"/>
      <c r="Q347" s="14" t="e">
        <v>#N/A</v>
      </c>
      <c r="R347" s="14" t="e">
        <v>#N/A</v>
      </c>
      <c r="S347" s="14"/>
      <c r="T347" s="90"/>
      <c r="U347" s="14"/>
      <c r="V347" s="14"/>
      <c r="W347" s="14"/>
      <c r="X347" s="86"/>
      <c r="Y347" s="59">
        <f ca="1">Table24[[#This Row],[End Date]]+2-TODAY()</f>
        <v>-45816</v>
      </c>
      <c r="Z347" s="14">
        <f>IF(ISBLANK(Table24[[#This Row],[Roster Received By]]),1,0)</f>
        <v>1</v>
      </c>
      <c r="AA347" s="14">
        <f ca="1">IF(Table24[[#This Row],[Start Date]]&gt;TODAY(),1,)</f>
        <v>0</v>
      </c>
    </row>
    <row r="348" spans="1:27" s="87" customFormat="1" x14ac:dyDescent="0.25">
      <c r="A348" s="52"/>
      <c r="B348" s="105"/>
      <c r="C348" s="87" t="e">
        <v>#N/A</v>
      </c>
      <c r="D348" s="87" t="e">
        <v>#N/A</v>
      </c>
      <c r="E348" s="103"/>
      <c r="F348" s="97"/>
      <c r="G348" s="97"/>
      <c r="H348" s="89"/>
      <c r="I348" s="88"/>
      <c r="J348" s="88"/>
      <c r="K348" s="88"/>
      <c r="L348" s="88"/>
      <c r="M348" s="88"/>
      <c r="N348" s="88"/>
      <c r="O348" s="86"/>
      <c r="P348" s="86"/>
      <c r="Q348" s="14" t="e">
        <v>#N/A</v>
      </c>
      <c r="R348" s="14" t="e">
        <v>#N/A</v>
      </c>
      <c r="S348" s="14"/>
      <c r="T348" s="90"/>
      <c r="U348" s="14"/>
      <c r="V348" s="14"/>
      <c r="W348" s="14"/>
      <c r="X348" s="86"/>
      <c r="Y348" s="59">
        <f ca="1">Table24[[#This Row],[End Date]]+2-TODAY()</f>
        <v>-45816</v>
      </c>
      <c r="Z348" s="14">
        <f>IF(ISBLANK(Table24[[#This Row],[Roster Received By]]),1,0)</f>
        <v>1</v>
      </c>
      <c r="AA348" s="14">
        <f ca="1">IF(Table24[[#This Row],[Start Date]]&gt;TODAY(),1,)</f>
        <v>0</v>
      </c>
    </row>
    <row r="349" spans="1:27" s="52" customFormat="1" x14ac:dyDescent="0.25">
      <c r="B349" s="105"/>
      <c r="C349" s="87" t="e">
        <v>#N/A</v>
      </c>
      <c r="D349" s="87" t="e">
        <v>#N/A</v>
      </c>
      <c r="E349" s="55"/>
      <c r="F349" s="85"/>
      <c r="G349" s="85"/>
      <c r="H349" s="88"/>
      <c r="I349" s="88"/>
      <c r="J349" s="89"/>
      <c r="K349" s="89"/>
      <c r="L349" s="89"/>
      <c r="M349" s="89"/>
      <c r="N349" s="89"/>
      <c r="O349" s="86"/>
      <c r="P349" s="86"/>
      <c r="Q349" s="14" t="e">
        <v>#N/A</v>
      </c>
      <c r="R349" s="14" t="e">
        <v>#N/A</v>
      </c>
      <c r="S349" s="14"/>
      <c r="T349" s="90"/>
      <c r="U349" s="14"/>
      <c r="V349" s="14"/>
      <c r="W349" s="87"/>
      <c r="X349" s="86"/>
      <c r="Y349" s="96">
        <f ca="1">Table24[[#This Row],[End Date]]+2-TODAY()</f>
        <v>-45816</v>
      </c>
      <c r="Z349" s="14">
        <f>IF(ISBLANK(Table24[[#This Row],[Roster Received By]]),1,0)</f>
        <v>1</v>
      </c>
      <c r="AA349" s="87">
        <f ca="1">IF(Table24[[#This Row],[Start Date]]&gt;TODAY(),1,)</f>
        <v>0</v>
      </c>
    </row>
    <row r="350" spans="1:27" s="52" customFormat="1" x14ac:dyDescent="0.25">
      <c r="B350" s="103"/>
      <c r="C350" s="87" t="e">
        <v>#N/A</v>
      </c>
      <c r="D350" s="87" t="e">
        <v>#N/A</v>
      </c>
      <c r="E350" s="115"/>
      <c r="F350" s="118"/>
      <c r="G350" s="118"/>
      <c r="H350" s="155"/>
      <c r="I350" s="88"/>
      <c r="J350" s="88"/>
      <c r="K350" s="88"/>
      <c r="L350" s="88"/>
      <c r="M350" s="88"/>
      <c r="N350" s="88"/>
      <c r="O350" s="86"/>
      <c r="P350" s="86"/>
      <c r="Q350" s="14" t="e">
        <v>#N/A</v>
      </c>
      <c r="R350" s="14" t="e">
        <v>#N/A</v>
      </c>
      <c r="S350" s="14"/>
      <c r="T350" s="90"/>
      <c r="U350" s="14"/>
      <c r="V350" s="14"/>
      <c r="W350" s="87"/>
      <c r="X350" s="86"/>
      <c r="Y350" s="96">
        <f ca="1">Table24[[#This Row],[End Date]]+2-TODAY()</f>
        <v>-45816</v>
      </c>
      <c r="Z350" s="14">
        <f>IF(ISBLANK(Table24[[#This Row],[Roster Received By]]),1,0)</f>
        <v>1</v>
      </c>
      <c r="AA350" s="87">
        <f ca="1">IF(Table24[[#This Row],[Start Date]]&gt;TODAY(),1,)</f>
        <v>0</v>
      </c>
    </row>
    <row r="351" spans="1:27" s="52" customFormat="1" x14ac:dyDescent="0.25">
      <c r="B351" s="103"/>
      <c r="C351" s="87" t="e">
        <v>#N/A</v>
      </c>
      <c r="D351" s="87" t="e">
        <v>#N/A</v>
      </c>
      <c r="E351" s="103"/>
      <c r="F351" s="97"/>
      <c r="G351" s="97"/>
      <c r="H351" s="89"/>
      <c r="I351" s="88"/>
      <c r="J351" s="88"/>
      <c r="K351" s="88"/>
      <c r="L351" s="88"/>
      <c r="M351" s="88"/>
      <c r="N351" s="88"/>
      <c r="O351" s="86"/>
      <c r="P351" s="86"/>
      <c r="Q351" s="14" t="e">
        <v>#N/A</v>
      </c>
      <c r="R351" s="14" t="e">
        <v>#N/A</v>
      </c>
      <c r="S351" s="14"/>
      <c r="T351" s="90"/>
      <c r="U351" s="14"/>
      <c r="V351" s="14"/>
      <c r="W351" s="87"/>
      <c r="X351" s="86"/>
      <c r="Y351" s="96">
        <f ca="1">Table24[[#This Row],[End Date]]+2-TODAY()</f>
        <v>-45816</v>
      </c>
      <c r="Z351" s="14">
        <f>IF(ISBLANK(Table24[[#This Row],[Roster Received By]]),1,0)</f>
        <v>1</v>
      </c>
      <c r="AA351" s="87">
        <f ca="1">IF(Table24[[#This Row],[Start Date]]&gt;TODAY(),1,)</f>
        <v>0</v>
      </c>
    </row>
    <row r="352" spans="1:27" s="52" customFormat="1" x14ac:dyDescent="0.25">
      <c r="B352" s="103"/>
      <c r="C352" s="87" t="e">
        <v>#N/A</v>
      </c>
      <c r="D352" s="87" t="e">
        <v>#N/A</v>
      </c>
      <c r="E352" s="103"/>
      <c r="F352" s="97"/>
      <c r="G352" s="97"/>
      <c r="H352" s="89"/>
      <c r="I352" s="88"/>
      <c r="J352" s="88"/>
      <c r="K352" s="88"/>
      <c r="L352" s="88"/>
      <c r="M352" s="88"/>
      <c r="N352" s="88"/>
      <c r="O352" s="86"/>
      <c r="P352" s="86"/>
      <c r="Q352" s="14" t="e">
        <v>#N/A</v>
      </c>
      <c r="R352" s="14" t="e">
        <v>#N/A</v>
      </c>
      <c r="S352" s="14"/>
      <c r="T352" s="90"/>
      <c r="U352" s="14"/>
      <c r="V352" s="14"/>
      <c r="W352" s="87"/>
      <c r="X352" s="86"/>
      <c r="Y352" s="96">
        <f ca="1">Table24[[#This Row],[End Date]]+2-TODAY()</f>
        <v>-45816</v>
      </c>
      <c r="Z352" s="14">
        <f>IF(ISBLANK(Table24[[#This Row],[Roster Received By]]),1,0)</f>
        <v>1</v>
      </c>
      <c r="AA352" s="87">
        <f ca="1">IF(Table24[[#This Row],[Start Date]]&gt;TODAY(),1,)</f>
        <v>0</v>
      </c>
    </row>
    <row r="353" spans="1:27" s="52" customFormat="1" x14ac:dyDescent="0.25">
      <c r="B353" s="103"/>
      <c r="C353" s="87" t="e">
        <v>#N/A</v>
      </c>
      <c r="D353" s="87" t="e">
        <v>#N/A</v>
      </c>
      <c r="E353" s="103"/>
      <c r="F353" s="97"/>
      <c r="G353" s="97"/>
      <c r="H353" s="92"/>
      <c r="I353" s="92"/>
      <c r="J353" s="92"/>
      <c r="K353" s="92"/>
      <c r="L353" s="92"/>
      <c r="M353" s="92"/>
      <c r="N353" s="89"/>
      <c r="O353" s="86"/>
      <c r="P353" s="86"/>
      <c r="Q353" s="14" t="e">
        <v>#N/A</v>
      </c>
      <c r="R353" s="14" t="e">
        <v>#N/A</v>
      </c>
      <c r="S353" s="14"/>
      <c r="T353" s="90"/>
      <c r="U353" s="14"/>
      <c r="V353" s="14"/>
      <c r="W353" s="87"/>
      <c r="X353" s="86"/>
      <c r="Y353" s="96">
        <f ca="1">Table24[[#This Row],[End Date]]+2-TODAY()</f>
        <v>-45816</v>
      </c>
      <c r="Z353" s="14">
        <f>IF(ISBLANK(Table24[[#This Row],[Roster Received By]]),1,0)</f>
        <v>1</v>
      </c>
      <c r="AA353" s="87">
        <f ca="1">IF(Table24[[#This Row],[Start Date]]&gt;TODAY(),1,)</f>
        <v>0</v>
      </c>
    </row>
    <row r="354" spans="1:27" s="52" customFormat="1" x14ac:dyDescent="0.25">
      <c r="A354" s="86"/>
      <c r="B354" s="105"/>
      <c r="C354" s="87" t="e">
        <v>#N/A</v>
      </c>
      <c r="D354" s="87" t="e">
        <v>#N/A</v>
      </c>
      <c r="E354" s="103"/>
      <c r="F354" s="97"/>
      <c r="G354" s="97"/>
      <c r="H354" s="92"/>
      <c r="I354" s="92"/>
      <c r="J354" s="89"/>
      <c r="K354" s="89"/>
      <c r="L354" s="89"/>
      <c r="M354" s="89"/>
      <c r="N354" s="89"/>
      <c r="O354" s="86"/>
      <c r="P354" s="86"/>
      <c r="Q354" s="14" t="e">
        <v>#N/A</v>
      </c>
      <c r="R354" s="14" t="e">
        <v>#N/A</v>
      </c>
      <c r="S354" s="14"/>
      <c r="T354" s="90"/>
      <c r="U354" s="14"/>
      <c r="V354" s="14"/>
      <c r="W354" s="87"/>
      <c r="X354" s="86"/>
      <c r="Y354" s="96">
        <f ca="1">Table24[[#This Row],[End Date]]+2-TODAY()</f>
        <v>-45816</v>
      </c>
      <c r="Z354" s="14">
        <f>IF(ISBLANK(Table24[[#This Row],[Roster Received By]]),1,0)</f>
        <v>1</v>
      </c>
      <c r="AA354" s="87">
        <f ca="1">IF(Table24[[#This Row],[Start Date]]&gt;TODAY(),1,)</f>
        <v>0</v>
      </c>
    </row>
    <row r="355" spans="1:27" s="52" customFormat="1" x14ac:dyDescent="0.25">
      <c r="B355" s="103"/>
      <c r="C355" s="87" t="e">
        <v>#N/A</v>
      </c>
      <c r="D355" s="87" t="e">
        <v>#N/A</v>
      </c>
      <c r="E355" s="103"/>
      <c r="F355" s="97"/>
      <c r="G355" s="97"/>
      <c r="H355" s="92"/>
      <c r="I355" s="92"/>
      <c r="J355" s="89"/>
      <c r="K355" s="89"/>
      <c r="L355" s="89"/>
      <c r="M355" s="89"/>
      <c r="N355" s="89"/>
      <c r="O355" s="86"/>
      <c r="P355" s="86"/>
      <c r="Q355" s="14" t="e">
        <v>#N/A</v>
      </c>
      <c r="R355" s="14" t="e">
        <v>#N/A</v>
      </c>
      <c r="S355" s="90"/>
      <c r="T355" s="90"/>
      <c r="U355" s="14"/>
      <c r="V355" s="14"/>
      <c r="W355" s="87"/>
      <c r="X355" s="86"/>
      <c r="Y355" s="96">
        <f ca="1">Table24[[#This Row],[End Date]]+2-TODAY()</f>
        <v>-45816</v>
      </c>
      <c r="Z355" s="14">
        <f>IF(ISBLANK(Table24[[#This Row],[Roster Received By]]),1,0)</f>
        <v>1</v>
      </c>
      <c r="AA355" s="87">
        <f ca="1">IF(Table24[[#This Row],[Start Date]]&gt;TODAY(),1,)</f>
        <v>0</v>
      </c>
    </row>
    <row r="356" spans="1:27" s="52" customFormat="1" x14ac:dyDescent="0.25">
      <c r="B356" s="103"/>
      <c r="C356" s="87" t="e">
        <v>#N/A</v>
      </c>
      <c r="D356" s="87" t="e">
        <v>#N/A</v>
      </c>
      <c r="E356" s="55"/>
      <c r="F356" s="97"/>
      <c r="G356" s="97"/>
      <c r="H356" s="92"/>
      <c r="I356" s="92"/>
      <c r="J356" s="89"/>
      <c r="K356" s="89"/>
      <c r="L356" s="89"/>
      <c r="M356" s="89"/>
      <c r="N356" s="89"/>
      <c r="O356" s="86"/>
      <c r="P356" s="86"/>
      <c r="Q356" s="14" t="e">
        <v>#N/A</v>
      </c>
      <c r="R356" s="14" t="e">
        <v>#N/A</v>
      </c>
      <c r="S356" s="14"/>
      <c r="T356" s="90"/>
      <c r="U356" s="14"/>
      <c r="V356" s="14"/>
      <c r="W356" s="87"/>
      <c r="X356" s="86"/>
      <c r="Y356" s="96">
        <f ca="1">Table24[[#This Row],[End Date]]+2-TODAY()</f>
        <v>-45816</v>
      </c>
      <c r="Z356" s="14">
        <f>IF(ISBLANK(Table24[[#This Row],[Roster Received By]]),1,0)</f>
        <v>1</v>
      </c>
      <c r="AA356" s="87">
        <f ca="1">IF(Table24[[#This Row],[Start Date]]&gt;TODAY(),1,)</f>
        <v>0</v>
      </c>
    </row>
    <row r="357" spans="1:27" s="52" customFormat="1" x14ac:dyDescent="0.25">
      <c r="A357" s="86"/>
      <c r="B357" s="105"/>
      <c r="C357" s="87" t="e">
        <v>#N/A</v>
      </c>
      <c r="D357" s="87" t="e">
        <v>#N/A</v>
      </c>
      <c r="E357" s="103"/>
      <c r="F357" s="89"/>
      <c r="G357" s="89"/>
      <c r="H357" s="92"/>
      <c r="I357" s="92"/>
      <c r="J357" s="89"/>
      <c r="K357" s="89"/>
      <c r="L357" s="89"/>
      <c r="M357" s="89"/>
      <c r="N357" s="89"/>
      <c r="O357" s="86"/>
      <c r="P357" s="86"/>
      <c r="Q357" s="14" t="e">
        <v>#N/A</v>
      </c>
      <c r="R357" s="14" t="e">
        <v>#N/A</v>
      </c>
      <c r="S357" s="14"/>
      <c r="T357" s="90"/>
      <c r="U357" s="14"/>
      <c r="V357" s="14"/>
      <c r="W357" s="87"/>
      <c r="X357" s="86"/>
      <c r="Y357" s="96">
        <f ca="1">Table24[[#This Row],[End Date]]+2-TODAY()</f>
        <v>-45816</v>
      </c>
      <c r="Z357" s="14">
        <f>IF(ISBLANK(Table24[[#This Row],[Roster Received By]]),1,0)</f>
        <v>1</v>
      </c>
      <c r="AA357" s="87">
        <f ca="1">IF(Table24[[#This Row],[Start Date]]&gt;TODAY(),1,)</f>
        <v>0</v>
      </c>
    </row>
    <row r="358" spans="1:27" s="52" customFormat="1" x14ac:dyDescent="0.25">
      <c r="B358" s="114"/>
      <c r="C358" s="87" t="e">
        <v>#N/A</v>
      </c>
      <c r="D358" s="87" t="e">
        <v>#N/A</v>
      </c>
      <c r="E358" s="103"/>
      <c r="F358" s="89"/>
      <c r="G358" s="89"/>
      <c r="H358" s="89"/>
      <c r="I358" s="88"/>
      <c r="J358" s="88"/>
      <c r="K358" s="88"/>
      <c r="L358" s="88"/>
      <c r="M358" s="88"/>
      <c r="N358" s="88"/>
      <c r="O358" s="86"/>
      <c r="P358" s="86"/>
      <c r="Q358" s="14" t="e">
        <v>#N/A</v>
      </c>
      <c r="R358" s="14" t="e">
        <v>#N/A</v>
      </c>
      <c r="S358" s="14"/>
      <c r="T358" s="90"/>
      <c r="U358" s="14"/>
      <c r="V358" s="14"/>
      <c r="W358" s="87"/>
      <c r="X358" s="86"/>
      <c r="Y358" s="96">
        <f ca="1">Table24[[#This Row],[End Date]]+2-TODAY()</f>
        <v>-45816</v>
      </c>
      <c r="Z358" s="14">
        <f>IF(ISBLANK(Table24[[#This Row],[Roster Received By]]),1,0)</f>
        <v>1</v>
      </c>
      <c r="AA358" s="87">
        <f ca="1">IF(Table24[[#This Row],[Start Date]]&gt;TODAY(),1,)</f>
        <v>0</v>
      </c>
    </row>
    <row r="359" spans="1:27" s="52" customFormat="1" x14ac:dyDescent="0.25">
      <c r="B359" s="105"/>
      <c r="C359" s="87" t="e">
        <v>#N/A</v>
      </c>
      <c r="D359" s="87" t="e">
        <v>#N/A</v>
      </c>
      <c r="E359" s="103"/>
      <c r="F359" s="89"/>
      <c r="G359" s="89"/>
      <c r="H359" s="92"/>
      <c r="I359" s="92"/>
      <c r="J359" s="89"/>
      <c r="K359" s="89"/>
      <c r="L359" s="89"/>
      <c r="M359" s="89"/>
      <c r="N359" s="89"/>
      <c r="O359" s="86"/>
      <c r="P359" s="86"/>
      <c r="Q359" s="14" t="e">
        <v>#N/A</v>
      </c>
      <c r="R359" s="14" t="e">
        <v>#N/A</v>
      </c>
      <c r="S359" s="14"/>
      <c r="T359" s="90"/>
      <c r="U359" s="14"/>
      <c r="V359" s="14"/>
      <c r="W359" s="87"/>
      <c r="X359" s="86"/>
      <c r="Y359" s="96">
        <f ca="1">Table24[[#This Row],[End Date]]+2-TODAY()</f>
        <v>-45816</v>
      </c>
      <c r="Z359" s="14">
        <f>IF(ISBLANK(Table24[[#This Row],[Roster Received By]]),1,0)</f>
        <v>1</v>
      </c>
      <c r="AA359" s="87">
        <f ca="1">IF(Table24[[#This Row],[Start Date]]&gt;TODAY(),1,)</f>
        <v>0</v>
      </c>
    </row>
    <row r="360" spans="1:27" s="52" customFormat="1" x14ac:dyDescent="0.25">
      <c r="B360" s="103"/>
      <c r="C360" s="87" t="e">
        <v>#N/A</v>
      </c>
      <c r="D360" s="87" t="e">
        <v>#N/A</v>
      </c>
      <c r="E360" s="86"/>
      <c r="F360" s="89"/>
      <c r="G360" s="89"/>
      <c r="H360" s="92"/>
      <c r="I360" s="99"/>
      <c r="J360" s="99"/>
      <c r="K360" s="99"/>
      <c r="L360" s="99"/>
      <c r="M360" s="99"/>
      <c r="N360" s="99"/>
      <c r="O360" s="86"/>
      <c r="P360" s="86"/>
      <c r="Q360" s="14" t="e">
        <v>#N/A</v>
      </c>
      <c r="R360" s="14" t="e">
        <v>#N/A</v>
      </c>
      <c r="S360" s="90"/>
      <c r="T360" s="100"/>
      <c r="U360" s="100"/>
      <c r="V360" s="100"/>
      <c r="W360" s="100"/>
      <c r="X360" s="86"/>
      <c r="Y360" s="100"/>
    </row>
    <row r="361" spans="1:27" s="52" customFormat="1" x14ac:dyDescent="0.25">
      <c r="A361" s="54"/>
      <c r="B361" s="103"/>
      <c r="C361" s="87" t="e">
        <v>#N/A</v>
      </c>
      <c r="D361" s="87" t="e">
        <v>#N/A</v>
      </c>
      <c r="E361" s="103"/>
      <c r="F361" s="89"/>
      <c r="G361" s="89"/>
      <c r="H361" s="89"/>
      <c r="I361" s="88"/>
      <c r="J361" s="88"/>
      <c r="K361" s="88"/>
      <c r="L361" s="88"/>
      <c r="M361" s="88"/>
      <c r="N361" s="88"/>
      <c r="O361" s="86"/>
      <c r="P361" s="86"/>
      <c r="Q361" s="14" t="e">
        <v>#N/A</v>
      </c>
      <c r="R361" s="14" t="e">
        <v>#N/A</v>
      </c>
      <c r="S361" s="14"/>
      <c r="T361" s="90"/>
      <c r="U361" s="14"/>
      <c r="V361" s="14"/>
      <c r="W361" s="87"/>
      <c r="X361" s="86"/>
      <c r="Y361" s="96">
        <f ca="1">Table24[[#This Row],[End Date]]+2-TODAY()</f>
        <v>-45816</v>
      </c>
      <c r="Z361" s="14">
        <f>IF(ISBLANK(Table24[[#This Row],[Roster Received By]]),1,0)</f>
        <v>1</v>
      </c>
      <c r="AA361" s="87">
        <f ca="1">IF(Table24[[#This Row],[Start Date]]&gt;TODAY(),1,)</f>
        <v>0</v>
      </c>
    </row>
    <row r="362" spans="1:27" s="52" customFormat="1" x14ac:dyDescent="0.25">
      <c r="B362" s="103"/>
      <c r="C362" s="87" t="e">
        <v>#N/A</v>
      </c>
      <c r="D362" s="87" t="e">
        <v>#N/A</v>
      </c>
      <c r="E362" s="103"/>
      <c r="F362" s="89"/>
      <c r="G362" s="89"/>
      <c r="H362" s="92"/>
      <c r="I362" s="92"/>
      <c r="J362" s="89"/>
      <c r="K362" s="89"/>
      <c r="L362" s="89"/>
      <c r="M362" s="89"/>
      <c r="N362" s="89"/>
      <c r="O362" s="86"/>
      <c r="P362" s="86"/>
      <c r="Q362" s="14" t="e">
        <v>#N/A</v>
      </c>
      <c r="R362" s="14" t="e">
        <v>#N/A</v>
      </c>
      <c r="S362" s="14"/>
      <c r="T362" s="90"/>
      <c r="U362" s="14"/>
      <c r="V362" s="14"/>
      <c r="W362" s="87"/>
      <c r="X362" s="86"/>
      <c r="Y362" s="96">
        <f ca="1">Table24[[#This Row],[End Date]]+2-TODAY()</f>
        <v>-45816</v>
      </c>
      <c r="Z362" s="14">
        <f>IF(ISBLANK(Table24[[#This Row],[Roster Received By]]),1,0)</f>
        <v>1</v>
      </c>
      <c r="AA362" s="87">
        <f ca="1">IF(Table24[[#This Row],[Start Date]]&gt;TODAY(),1,)</f>
        <v>0</v>
      </c>
    </row>
    <row r="363" spans="1:27" s="52" customFormat="1" x14ac:dyDescent="0.25">
      <c r="A363" s="86"/>
      <c r="B363" s="105"/>
      <c r="C363" s="87" t="e">
        <v>#N/A</v>
      </c>
      <c r="D363" s="87" t="e">
        <v>#N/A</v>
      </c>
      <c r="E363" s="103"/>
      <c r="F363" s="89"/>
      <c r="G363" s="89"/>
      <c r="H363" s="92"/>
      <c r="I363" s="92"/>
      <c r="J363" s="89"/>
      <c r="K363" s="89"/>
      <c r="L363" s="89"/>
      <c r="M363" s="89"/>
      <c r="N363" s="89"/>
      <c r="O363" s="86"/>
      <c r="P363" s="86"/>
      <c r="Q363" s="14" t="e">
        <v>#N/A</v>
      </c>
      <c r="R363" s="14" t="e">
        <v>#N/A</v>
      </c>
      <c r="S363" s="14"/>
      <c r="T363" s="90"/>
      <c r="U363" s="14"/>
      <c r="V363" s="14"/>
      <c r="W363" s="87"/>
      <c r="X363" s="86"/>
      <c r="Y363" s="96">
        <f ca="1">Table24[[#This Row],[End Date]]+2-TODAY()</f>
        <v>-45816</v>
      </c>
      <c r="Z363" s="14">
        <f>IF(ISBLANK(Table24[[#This Row],[Roster Received By]]),1,0)</f>
        <v>1</v>
      </c>
      <c r="AA363" s="87">
        <f ca="1">IF(Table24[[#This Row],[Start Date]]&gt;TODAY(),1,)</f>
        <v>0</v>
      </c>
    </row>
    <row r="364" spans="1:27" s="52" customFormat="1" x14ac:dyDescent="0.25">
      <c r="B364" s="103"/>
      <c r="C364" s="87" t="e">
        <v>#N/A</v>
      </c>
      <c r="D364" s="87" t="e">
        <v>#N/A</v>
      </c>
      <c r="E364" s="103"/>
      <c r="F364" s="89"/>
      <c r="G364" s="89"/>
      <c r="H364" s="89"/>
      <c r="I364" s="88"/>
      <c r="J364" s="88"/>
      <c r="K364" s="88"/>
      <c r="L364" s="88"/>
      <c r="M364" s="88"/>
      <c r="N364" s="88"/>
      <c r="O364" s="86"/>
      <c r="P364" s="86"/>
      <c r="Q364" s="14" t="e">
        <v>#N/A</v>
      </c>
      <c r="R364" s="14" t="e">
        <v>#N/A</v>
      </c>
      <c r="S364" s="14"/>
      <c r="T364" s="90"/>
      <c r="U364" s="14"/>
      <c r="V364" s="14"/>
      <c r="W364" s="87"/>
      <c r="X364" s="86"/>
      <c r="Y364" s="96">
        <f ca="1">Table24[[#This Row],[End Date]]+2-TODAY()</f>
        <v>-45816</v>
      </c>
      <c r="Z364" s="14">
        <f>IF(ISBLANK(Table24[[#This Row],[Roster Received By]]),1,0)</f>
        <v>1</v>
      </c>
      <c r="AA364" s="87">
        <f ca="1">IF(Table24[[#This Row],[Start Date]]&gt;TODAY(),1,)</f>
        <v>0</v>
      </c>
    </row>
    <row r="365" spans="1:27" s="52" customFormat="1" x14ac:dyDescent="0.25">
      <c r="B365" s="103"/>
      <c r="C365" s="87" t="e">
        <v>#N/A</v>
      </c>
      <c r="D365" s="87" t="e">
        <v>#N/A</v>
      </c>
      <c r="E365" s="103"/>
      <c r="F365" s="89"/>
      <c r="G365" s="89"/>
      <c r="H365" s="89"/>
      <c r="I365" s="88"/>
      <c r="J365" s="88"/>
      <c r="K365" s="88"/>
      <c r="L365" s="88"/>
      <c r="M365" s="88"/>
      <c r="N365" s="88"/>
      <c r="O365" s="86"/>
      <c r="P365" s="86"/>
      <c r="Q365" s="14" t="e">
        <v>#N/A</v>
      </c>
      <c r="R365" s="14" t="e">
        <v>#N/A</v>
      </c>
      <c r="S365" s="14"/>
      <c r="T365" s="90"/>
      <c r="U365" s="14"/>
      <c r="V365" s="14"/>
      <c r="W365" s="87"/>
      <c r="X365" s="86"/>
      <c r="Y365" s="96">
        <f ca="1">Table24[[#This Row],[End Date]]+2-TODAY()</f>
        <v>-45816</v>
      </c>
      <c r="Z365" s="14">
        <f>IF(ISBLANK(Table24[[#This Row],[Roster Received By]]),1,0)</f>
        <v>1</v>
      </c>
      <c r="AA365" s="87">
        <f ca="1">IF(Table24[[#This Row],[Start Date]]&gt;TODAY(),1,)</f>
        <v>0</v>
      </c>
    </row>
    <row r="366" spans="1:27" s="52" customFormat="1" x14ac:dyDescent="0.25">
      <c r="B366" s="103"/>
      <c r="C366" s="87" t="e">
        <v>#N/A</v>
      </c>
      <c r="D366" s="87" t="e">
        <v>#N/A</v>
      </c>
      <c r="E366" s="103"/>
      <c r="F366" s="89"/>
      <c r="G366" s="89"/>
      <c r="H366" s="89"/>
      <c r="I366" s="88"/>
      <c r="J366" s="88"/>
      <c r="K366" s="88"/>
      <c r="L366" s="88"/>
      <c r="M366" s="88"/>
      <c r="N366" s="88"/>
      <c r="O366" s="86"/>
      <c r="P366" s="86"/>
      <c r="Q366" s="14" t="e">
        <v>#N/A</v>
      </c>
      <c r="R366" s="14" t="e">
        <v>#N/A</v>
      </c>
      <c r="S366" s="14"/>
      <c r="T366" s="90"/>
      <c r="U366" s="14"/>
      <c r="V366" s="14"/>
      <c r="W366" s="87"/>
      <c r="X366" s="86"/>
      <c r="Y366" s="96">
        <f ca="1">Table24[[#This Row],[End Date]]+2-TODAY()</f>
        <v>-45816</v>
      </c>
      <c r="Z366" s="14">
        <f>IF(ISBLANK(Table24[[#This Row],[Roster Received By]]),1,0)</f>
        <v>1</v>
      </c>
      <c r="AA366" s="87">
        <f ca="1">IF(Table24[[#This Row],[Start Date]]&gt;TODAY(),1,)</f>
        <v>0</v>
      </c>
    </row>
    <row r="367" spans="1:27" s="52" customFormat="1" x14ac:dyDescent="0.25">
      <c r="B367" s="103"/>
      <c r="C367" s="87" t="e">
        <v>#N/A</v>
      </c>
      <c r="D367" s="87" t="e">
        <v>#N/A</v>
      </c>
      <c r="E367" s="86"/>
      <c r="F367" s="89"/>
      <c r="G367" s="89"/>
      <c r="H367" s="89"/>
      <c r="I367" s="88"/>
      <c r="J367" s="88"/>
      <c r="K367" s="88"/>
      <c r="L367" s="88"/>
      <c r="M367" s="88"/>
      <c r="N367" s="88"/>
      <c r="O367" s="86"/>
      <c r="P367" s="86"/>
      <c r="Q367" s="14" t="e">
        <v>#N/A</v>
      </c>
      <c r="R367" s="14" t="e">
        <v>#N/A</v>
      </c>
      <c r="S367" s="14"/>
      <c r="T367" s="90"/>
      <c r="U367" s="14"/>
      <c r="V367" s="14"/>
      <c r="W367" s="87"/>
      <c r="X367" s="86"/>
      <c r="Y367" s="96">
        <f ca="1">Table24[[#This Row],[End Date]]+2-TODAY()</f>
        <v>-45816</v>
      </c>
      <c r="Z367" s="14">
        <f>IF(ISBLANK(Table24[[#This Row],[Roster Received By]]),1,0)</f>
        <v>1</v>
      </c>
      <c r="AA367" s="87">
        <f ca="1">IF(Table24[[#This Row],[Start Date]]&gt;TODAY(),1,)</f>
        <v>0</v>
      </c>
    </row>
    <row r="368" spans="1:27" s="52" customFormat="1" x14ac:dyDescent="0.25">
      <c r="B368" s="103"/>
      <c r="C368" s="87" t="e">
        <v>#N/A</v>
      </c>
      <c r="D368" s="87" t="e">
        <v>#N/A</v>
      </c>
      <c r="E368" s="103"/>
      <c r="F368" s="89"/>
      <c r="G368" s="89"/>
      <c r="H368" s="92"/>
      <c r="I368" s="92"/>
      <c r="J368" s="89"/>
      <c r="K368" s="89"/>
      <c r="L368" s="89"/>
      <c r="M368" s="89"/>
      <c r="N368" s="89"/>
      <c r="O368" s="86"/>
      <c r="P368" s="86"/>
      <c r="Q368" s="14" t="e">
        <v>#N/A</v>
      </c>
      <c r="R368" s="14" t="e">
        <v>#N/A</v>
      </c>
      <c r="S368" s="14"/>
      <c r="T368" s="90"/>
      <c r="U368" s="14"/>
      <c r="V368" s="14"/>
      <c r="W368" s="87"/>
      <c r="X368" s="86"/>
      <c r="Y368" s="96">
        <f ca="1">Table24[[#This Row],[End Date]]+2-TODAY()</f>
        <v>-45816</v>
      </c>
      <c r="Z368" s="14">
        <f>IF(ISBLANK(Table24[[#This Row],[Roster Received By]]),1,0)</f>
        <v>1</v>
      </c>
      <c r="AA368" s="87">
        <f ca="1">IF(Table24[[#This Row],[Start Date]]&gt;TODAY(),1,)</f>
        <v>0</v>
      </c>
    </row>
    <row r="369" spans="1:27" s="52" customFormat="1" x14ac:dyDescent="0.25">
      <c r="B369" s="103"/>
      <c r="C369" s="87" t="e">
        <v>#N/A</v>
      </c>
      <c r="D369" s="87" t="e">
        <v>#N/A</v>
      </c>
      <c r="E369" s="103"/>
      <c r="F369" s="89"/>
      <c r="G369" s="89"/>
      <c r="H369" s="92"/>
      <c r="I369" s="92"/>
      <c r="J369" s="89"/>
      <c r="K369" s="89"/>
      <c r="L369" s="89"/>
      <c r="M369" s="89"/>
      <c r="N369" s="89"/>
      <c r="O369" s="86"/>
      <c r="P369" s="86"/>
      <c r="Q369" s="14" t="e">
        <v>#N/A</v>
      </c>
      <c r="R369" s="14" t="e">
        <v>#N/A</v>
      </c>
      <c r="S369" s="14"/>
      <c r="T369" s="90"/>
      <c r="U369" s="14"/>
      <c r="V369" s="14"/>
      <c r="W369" s="87"/>
      <c r="X369" s="86"/>
      <c r="Y369" s="96">
        <f ca="1">Table24[[#This Row],[End Date]]+2-TODAY()</f>
        <v>-45816</v>
      </c>
      <c r="Z369" s="14">
        <f>IF(ISBLANK(Table24[[#This Row],[Roster Received By]]),1,0)</f>
        <v>1</v>
      </c>
      <c r="AA369" s="87">
        <f ca="1">IF(Table24[[#This Row],[Start Date]]&gt;TODAY(),1,)</f>
        <v>0</v>
      </c>
    </row>
    <row r="370" spans="1:27" s="52" customFormat="1" x14ac:dyDescent="0.25">
      <c r="B370" s="103"/>
      <c r="C370" s="87" t="e">
        <v>#N/A</v>
      </c>
      <c r="D370" s="87" t="e">
        <v>#N/A</v>
      </c>
      <c r="E370" s="103"/>
      <c r="F370" s="89"/>
      <c r="G370" s="89"/>
      <c r="H370" s="92"/>
      <c r="I370" s="92"/>
      <c r="J370" s="89"/>
      <c r="K370" s="89"/>
      <c r="L370" s="89"/>
      <c r="M370" s="89"/>
      <c r="N370" s="89"/>
      <c r="O370" s="86"/>
      <c r="P370" s="86"/>
      <c r="Q370" s="14" t="e">
        <v>#N/A</v>
      </c>
      <c r="R370" s="14" t="e">
        <v>#N/A</v>
      </c>
      <c r="S370" s="14"/>
      <c r="T370" s="90"/>
      <c r="U370" s="14"/>
      <c r="V370" s="14"/>
      <c r="W370" s="87"/>
      <c r="X370" s="86"/>
      <c r="Y370" s="96">
        <f ca="1">Table24[[#This Row],[End Date]]+2-TODAY()</f>
        <v>-45816</v>
      </c>
      <c r="Z370" s="14">
        <f>IF(ISBLANK(Table24[[#This Row],[Roster Received By]]),1,0)</f>
        <v>1</v>
      </c>
      <c r="AA370" s="87">
        <f ca="1">IF(Table24[[#This Row],[Start Date]]&gt;TODAY(),1,)</f>
        <v>0</v>
      </c>
    </row>
    <row r="371" spans="1:27" s="52" customFormat="1" x14ac:dyDescent="0.25">
      <c r="B371" s="103"/>
      <c r="C371" s="87" t="e">
        <v>#N/A</v>
      </c>
      <c r="D371" s="87" t="e">
        <v>#N/A</v>
      </c>
      <c r="E371" s="103"/>
      <c r="F371" s="89"/>
      <c r="G371" s="89"/>
      <c r="H371" s="92"/>
      <c r="I371" s="92"/>
      <c r="J371" s="89"/>
      <c r="K371" s="89"/>
      <c r="L371" s="89"/>
      <c r="M371" s="89"/>
      <c r="N371" s="89"/>
      <c r="O371" s="86"/>
      <c r="P371" s="86"/>
      <c r="Q371" s="14" t="e">
        <v>#N/A</v>
      </c>
      <c r="R371" s="14" t="e">
        <v>#N/A</v>
      </c>
      <c r="S371" s="14"/>
      <c r="T371" s="90"/>
      <c r="U371" s="14"/>
      <c r="V371" s="14"/>
      <c r="W371" s="87"/>
      <c r="X371" s="86"/>
      <c r="Y371" s="96">
        <f ca="1">Table24[[#This Row],[End Date]]+2-TODAY()</f>
        <v>-45816</v>
      </c>
      <c r="Z371" s="14">
        <f>IF(ISBLANK(Table24[[#This Row],[Roster Received By]]),1,0)</f>
        <v>1</v>
      </c>
      <c r="AA371" s="87">
        <f ca="1">IF(Table24[[#This Row],[Start Date]]&gt;TODAY(),1,)</f>
        <v>0</v>
      </c>
    </row>
    <row r="372" spans="1:27" s="52" customFormat="1" x14ac:dyDescent="0.25">
      <c r="B372" s="103"/>
      <c r="C372" s="87" t="e">
        <v>#N/A</v>
      </c>
      <c r="D372" s="87" t="e">
        <v>#N/A</v>
      </c>
      <c r="E372" s="55"/>
      <c r="F372" s="85"/>
      <c r="G372" s="85"/>
      <c r="H372" s="56"/>
      <c r="I372" s="88"/>
      <c r="J372" s="88"/>
      <c r="K372" s="88"/>
      <c r="L372" s="88"/>
      <c r="M372" s="88"/>
      <c r="N372" s="88"/>
      <c r="O372" s="86"/>
      <c r="P372" s="86"/>
      <c r="Q372" s="14" t="e">
        <v>#N/A</v>
      </c>
      <c r="R372" s="14" t="e">
        <v>#N/A</v>
      </c>
      <c r="S372" s="14"/>
      <c r="T372" s="90"/>
      <c r="U372" s="14"/>
      <c r="V372" s="14"/>
      <c r="W372" s="87"/>
      <c r="X372" s="86"/>
      <c r="Y372" s="96">
        <f ca="1">Table24[[#This Row],[End Date]]+2-TODAY()</f>
        <v>-45816</v>
      </c>
      <c r="Z372" s="14">
        <f>IF(ISBLANK(Table24[[#This Row],[Roster Received By]]),1,0)</f>
        <v>1</v>
      </c>
      <c r="AA372" s="87">
        <f ca="1">IF(Table24[[#This Row],[Start Date]]&gt;TODAY(),1,)</f>
        <v>0</v>
      </c>
    </row>
    <row r="373" spans="1:27" s="52" customFormat="1" x14ac:dyDescent="0.25">
      <c r="B373" s="103"/>
      <c r="C373" s="87" t="e">
        <v>#N/A</v>
      </c>
      <c r="D373" s="87" t="e">
        <v>#N/A</v>
      </c>
      <c r="E373" s="103"/>
      <c r="F373" s="97"/>
      <c r="G373" s="97"/>
      <c r="H373" s="92"/>
      <c r="I373" s="92"/>
      <c r="J373" s="89"/>
      <c r="K373" s="89"/>
      <c r="L373" s="89"/>
      <c r="M373" s="89"/>
      <c r="N373" s="89"/>
      <c r="O373" s="86"/>
      <c r="P373" s="86"/>
      <c r="Q373" s="14" t="e">
        <v>#N/A</v>
      </c>
      <c r="R373" s="14" t="e">
        <v>#N/A</v>
      </c>
      <c r="S373" s="14"/>
      <c r="T373" s="90"/>
      <c r="U373" s="14"/>
      <c r="V373" s="14"/>
      <c r="W373" s="87"/>
      <c r="X373" s="86"/>
      <c r="Y373" s="96">
        <f ca="1">Table24[[#This Row],[End Date]]+2-TODAY()</f>
        <v>-45816</v>
      </c>
      <c r="Z373" s="14">
        <f>IF(ISBLANK(Table24[[#This Row],[Roster Received By]]),1,0)</f>
        <v>1</v>
      </c>
      <c r="AA373" s="87">
        <f ca="1">IF(Table24[[#This Row],[Start Date]]&gt;TODAY(),1,)</f>
        <v>0</v>
      </c>
    </row>
    <row r="374" spans="1:27" s="52" customFormat="1" x14ac:dyDescent="0.25">
      <c r="A374" s="86"/>
      <c r="B374" s="103"/>
      <c r="C374" s="87" t="e">
        <v>#N/A</v>
      </c>
      <c r="D374" s="87" t="e">
        <v>#N/A</v>
      </c>
      <c r="E374" s="103"/>
      <c r="F374" s="97"/>
      <c r="G374" s="97"/>
      <c r="H374" s="92"/>
      <c r="I374" s="92"/>
      <c r="J374" s="89"/>
      <c r="K374" s="89"/>
      <c r="L374" s="89"/>
      <c r="M374" s="89"/>
      <c r="N374" s="89"/>
      <c r="O374" s="86"/>
      <c r="P374" s="86"/>
      <c r="Q374" s="14" t="e">
        <v>#N/A</v>
      </c>
      <c r="R374" s="14" t="e">
        <v>#N/A</v>
      </c>
      <c r="S374" s="14"/>
      <c r="T374" s="90"/>
      <c r="U374" s="14"/>
      <c r="V374" s="14"/>
      <c r="W374" s="87"/>
      <c r="X374" s="86"/>
      <c r="Y374" s="96">
        <f ca="1">Table24[[#This Row],[End Date]]+2-TODAY()</f>
        <v>-45816</v>
      </c>
      <c r="Z374" s="14">
        <f>IF(ISBLANK(Table24[[#This Row],[Roster Received By]]),1,0)</f>
        <v>1</v>
      </c>
      <c r="AA374" s="87">
        <f ca="1">IF(Table24[[#This Row],[Start Date]]&gt;TODAY(),1,)</f>
        <v>0</v>
      </c>
    </row>
    <row r="375" spans="1:27" s="52" customFormat="1" x14ac:dyDescent="0.25">
      <c r="B375" s="103"/>
      <c r="C375" s="87" t="e">
        <v>#N/A</v>
      </c>
      <c r="D375" s="87" t="e">
        <v>#N/A</v>
      </c>
      <c r="E375" s="55"/>
      <c r="F375" s="97"/>
      <c r="G375" s="97"/>
      <c r="H375" s="92"/>
      <c r="I375" s="92"/>
      <c r="J375" s="89"/>
      <c r="K375" s="89"/>
      <c r="L375" s="89"/>
      <c r="M375" s="89"/>
      <c r="N375" s="89"/>
      <c r="O375" s="86"/>
      <c r="P375" s="86"/>
      <c r="Q375" s="14" t="e">
        <v>#N/A</v>
      </c>
      <c r="R375" s="14" t="e">
        <v>#N/A</v>
      </c>
      <c r="S375" s="14"/>
      <c r="T375" s="90"/>
      <c r="U375" s="14"/>
      <c r="V375" s="14"/>
      <c r="W375" s="87"/>
      <c r="X375" s="86"/>
      <c r="Y375" s="96">
        <f ca="1">Table24[[#This Row],[End Date]]+2-TODAY()</f>
        <v>-45816</v>
      </c>
      <c r="Z375" s="14">
        <f>IF(ISBLANK(Table24[[#This Row],[Roster Received By]]),1,0)</f>
        <v>1</v>
      </c>
      <c r="AA375" s="87">
        <f ca="1">IF(Table24[[#This Row],[Start Date]]&gt;TODAY(),1,)</f>
        <v>0</v>
      </c>
    </row>
    <row r="376" spans="1:27" s="52" customFormat="1" x14ac:dyDescent="0.25">
      <c r="B376" s="103"/>
      <c r="C376" s="87" t="e">
        <v>#N/A</v>
      </c>
      <c r="D376" s="87" t="e">
        <v>#N/A</v>
      </c>
      <c r="E376" s="103"/>
      <c r="F376" s="97"/>
      <c r="G376" s="97"/>
      <c r="H376" s="92"/>
      <c r="I376" s="92"/>
      <c r="J376" s="89"/>
      <c r="K376" s="89"/>
      <c r="L376" s="89"/>
      <c r="M376" s="89"/>
      <c r="N376" s="89"/>
      <c r="O376" s="86"/>
      <c r="P376" s="86"/>
      <c r="Q376" s="14" t="e">
        <v>#N/A</v>
      </c>
      <c r="R376" s="14" t="e">
        <v>#N/A</v>
      </c>
      <c r="S376" s="14"/>
      <c r="T376" s="90"/>
      <c r="U376" s="14"/>
      <c r="V376" s="14"/>
      <c r="W376" s="87"/>
      <c r="X376" s="86"/>
      <c r="Y376" s="96">
        <f ca="1">Table24[[#This Row],[End Date]]+2-TODAY()</f>
        <v>-45816</v>
      </c>
      <c r="Z376" s="14">
        <f>IF(ISBLANK(Table24[[#This Row],[Roster Received By]]),1,0)</f>
        <v>1</v>
      </c>
      <c r="AA376" s="87">
        <f ca="1">IF(Table24[[#This Row],[Start Date]]&gt;TODAY(),1,)</f>
        <v>0</v>
      </c>
    </row>
    <row r="377" spans="1:27" s="52" customFormat="1" x14ac:dyDescent="0.25">
      <c r="B377" s="103"/>
      <c r="C377" s="87" t="e">
        <v>#N/A</v>
      </c>
      <c r="D377" s="87" t="e">
        <v>#N/A</v>
      </c>
      <c r="E377" s="103"/>
      <c r="F377" s="97"/>
      <c r="G377" s="97"/>
      <c r="H377" s="89"/>
      <c r="I377" s="88"/>
      <c r="J377" s="88"/>
      <c r="K377" s="88"/>
      <c r="L377" s="88"/>
      <c r="M377" s="88"/>
      <c r="N377" s="88"/>
      <c r="O377" s="86"/>
      <c r="P377" s="86"/>
      <c r="Q377" s="14" t="e">
        <v>#N/A</v>
      </c>
      <c r="R377" s="14" t="e">
        <v>#N/A</v>
      </c>
      <c r="S377" s="14"/>
      <c r="T377" s="90"/>
      <c r="U377" s="14"/>
      <c r="V377" s="14"/>
      <c r="W377" s="87"/>
      <c r="X377" s="86"/>
      <c r="Y377" s="96">
        <f ca="1">Table24[[#This Row],[End Date]]+2-TODAY()</f>
        <v>-45816</v>
      </c>
      <c r="Z377" s="14">
        <f>IF(ISBLANK(Table24[[#This Row],[Roster Received By]]),1,0)</f>
        <v>1</v>
      </c>
      <c r="AA377" s="87">
        <f ca="1">IF(Table24[[#This Row],[Start Date]]&gt;TODAY(),1,)</f>
        <v>0</v>
      </c>
    </row>
    <row r="378" spans="1:27" s="52" customFormat="1" x14ac:dyDescent="0.25">
      <c r="B378" s="103"/>
      <c r="C378" s="87" t="e">
        <v>#N/A</v>
      </c>
      <c r="D378" s="87" t="e">
        <v>#N/A</v>
      </c>
      <c r="E378" s="103"/>
      <c r="F378" s="97"/>
      <c r="G378" s="97"/>
      <c r="H378" s="89"/>
      <c r="I378" s="88"/>
      <c r="J378" s="88"/>
      <c r="K378" s="88"/>
      <c r="L378" s="88"/>
      <c r="M378" s="88"/>
      <c r="N378" s="88"/>
      <c r="O378" s="86"/>
      <c r="P378" s="86"/>
      <c r="Q378" s="14" t="e">
        <v>#N/A</v>
      </c>
      <c r="R378" s="14" t="e">
        <v>#N/A</v>
      </c>
      <c r="S378" s="14"/>
      <c r="T378" s="90"/>
      <c r="U378" s="14"/>
      <c r="V378" s="14"/>
      <c r="W378" s="87"/>
      <c r="X378" s="86"/>
      <c r="Y378" s="96">
        <f ca="1">Table24[[#This Row],[End Date]]+2-TODAY()</f>
        <v>-45816</v>
      </c>
      <c r="Z378" s="14">
        <f>IF(ISBLANK(Table24[[#This Row],[Roster Received By]]),1,0)</f>
        <v>1</v>
      </c>
      <c r="AA378" s="87">
        <f ca="1">IF(Table24[[#This Row],[Start Date]]&gt;TODAY(),1,)</f>
        <v>0</v>
      </c>
    </row>
    <row r="379" spans="1:27" s="52" customFormat="1" x14ac:dyDescent="0.25">
      <c r="B379" s="113"/>
      <c r="C379" s="87" t="e">
        <v>#N/A</v>
      </c>
      <c r="D379" s="87" t="e">
        <v>#N/A</v>
      </c>
      <c r="E379" s="103"/>
      <c r="F379" s="97"/>
      <c r="G379" s="97"/>
      <c r="H379" s="89"/>
      <c r="I379" s="88"/>
      <c r="J379" s="88"/>
      <c r="K379" s="88"/>
      <c r="L379" s="88"/>
      <c r="M379" s="88"/>
      <c r="N379" s="88"/>
      <c r="O379" s="86"/>
      <c r="P379" s="86"/>
      <c r="Q379" s="14" t="e">
        <v>#N/A</v>
      </c>
      <c r="R379" s="14" t="e">
        <v>#N/A</v>
      </c>
      <c r="S379" s="14"/>
      <c r="T379" s="90"/>
      <c r="U379" s="14"/>
      <c r="V379" s="14"/>
      <c r="W379" s="87"/>
      <c r="X379" s="86"/>
      <c r="Y379" s="96">
        <f ca="1">Table24[[#This Row],[End Date]]+2-TODAY()</f>
        <v>-45816</v>
      </c>
      <c r="Z379" s="14">
        <f>IF(ISBLANK(Table24[[#This Row],[Roster Received By]]),1,0)</f>
        <v>1</v>
      </c>
      <c r="AA379" s="87">
        <f ca="1">IF(Table24[[#This Row],[Start Date]]&gt;TODAY(),1,)</f>
        <v>0</v>
      </c>
    </row>
    <row r="380" spans="1:27" s="52" customFormat="1" x14ac:dyDescent="0.25">
      <c r="B380" s="103"/>
      <c r="C380" s="87" t="e">
        <v>#N/A</v>
      </c>
      <c r="D380" s="87" t="e">
        <v>#N/A</v>
      </c>
      <c r="E380" s="86"/>
      <c r="F380" s="89"/>
      <c r="G380" s="89"/>
      <c r="H380" s="92"/>
      <c r="I380" s="92"/>
      <c r="J380" s="89"/>
      <c r="K380" s="89"/>
      <c r="L380" s="89"/>
      <c r="M380" s="89"/>
      <c r="N380" s="89"/>
      <c r="O380" s="86"/>
      <c r="P380" s="86"/>
      <c r="Q380" s="14" t="e">
        <v>#N/A</v>
      </c>
      <c r="R380" s="14" t="e">
        <v>#N/A</v>
      </c>
      <c r="S380" s="90"/>
      <c r="T380" s="90"/>
      <c r="U380" s="14"/>
      <c r="V380" s="14"/>
      <c r="W380" s="87"/>
      <c r="X380" s="86"/>
      <c r="Y380" s="96">
        <f ca="1">Table24[[#This Row],[End Date]]+2-TODAY()</f>
        <v>-45816</v>
      </c>
      <c r="Z380" s="14">
        <f>IF(ISBLANK(Table24[[#This Row],[Roster Received By]]),1,0)</f>
        <v>1</v>
      </c>
      <c r="AA380" s="87">
        <f ca="1">IF(Table24[[#This Row],[Start Date]]&gt;TODAY(),1,)</f>
        <v>0</v>
      </c>
    </row>
    <row r="381" spans="1:27" s="52" customFormat="1" x14ac:dyDescent="0.25">
      <c r="B381" s="55"/>
      <c r="C381" s="87" t="e">
        <v>#N/A</v>
      </c>
      <c r="D381" s="87" t="e">
        <v>#N/A</v>
      </c>
      <c r="E381" s="57"/>
      <c r="F381" s="56"/>
      <c r="G381" s="56"/>
      <c r="H381" s="88"/>
      <c r="I381" s="88"/>
      <c r="J381" s="89"/>
      <c r="K381" s="89"/>
      <c r="L381" s="89"/>
      <c r="M381" s="89"/>
      <c r="N381" s="89"/>
      <c r="O381" s="86"/>
      <c r="P381" s="86"/>
      <c r="Q381" s="14" t="e">
        <v>#N/A</v>
      </c>
      <c r="R381" s="14" t="e">
        <v>#N/A</v>
      </c>
      <c r="S381" s="14"/>
      <c r="T381" s="90"/>
      <c r="U381" s="14"/>
      <c r="V381" s="14"/>
      <c r="W381" s="87"/>
      <c r="X381" s="86"/>
      <c r="Y381" s="96">
        <f ca="1">Table24[[#This Row],[End Date]]+2-TODAY()</f>
        <v>-45816</v>
      </c>
      <c r="Z381" s="14">
        <f>IF(ISBLANK(Table24[[#This Row],[Roster Received By]]),1,0)</f>
        <v>1</v>
      </c>
      <c r="AA381" s="87">
        <f ca="1">IF(Table24[[#This Row],[Start Date]]&gt;TODAY(),1,)</f>
        <v>0</v>
      </c>
    </row>
    <row r="382" spans="1:27" s="52" customFormat="1" x14ac:dyDescent="0.25">
      <c r="A382" s="86"/>
      <c r="B382" s="103"/>
      <c r="C382" s="87" t="e">
        <v>#N/A</v>
      </c>
      <c r="D382" s="87" t="e">
        <v>#N/A</v>
      </c>
      <c r="E382" s="109"/>
      <c r="F382" s="89"/>
      <c r="G382" s="89"/>
      <c r="H382" s="89"/>
      <c r="I382" s="88"/>
      <c r="J382" s="88"/>
      <c r="K382" s="88"/>
      <c r="L382" s="88"/>
      <c r="M382" s="88"/>
      <c r="N382" s="88"/>
      <c r="O382" s="86"/>
      <c r="P382" s="86"/>
      <c r="Q382" s="14" t="e">
        <v>#N/A</v>
      </c>
      <c r="R382" s="14" t="e">
        <v>#N/A</v>
      </c>
      <c r="S382" s="14"/>
      <c r="T382" s="90"/>
      <c r="U382" s="14"/>
      <c r="V382" s="14"/>
      <c r="W382" s="87"/>
      <c r="X382" s="86"/>
      <c r="Y382" s="96">
        <f ca="1">Table24[[#This Row],[End Date]]+2-TODAY()</f>
        <v>-45816</v>
      </c>
      <c r="Z382" s="14">
        <f>IF(ISBLANK(Table24[[#This Row],[Roster Received By]]),1,0)</f>
        <v>1</v>
      </c>
      <c r="AA382" s="87">
        <f ca="1">IF(Table24[[#This Row],[Start Date]]&gt;TODAY(),1,)</f>
        <v>0</v>
      </c>
    </row>
    <row r="383" spans="1:27" s="52" customFormat="1" x14ac:dyDescent="0.25">
      <c r="B383" s="103"/>
      <c r="C383" s="87" t="e">
        <v>#N/A</v>
      </c>
      <c r="D383" s="87" t="e">
        <v>#N/A</v>
      </c>
      <c r="E383" s="57"/>
      <c r="F383" s="56"/>
      <c r="G383" s="56"/>
      <c r="H383" s="56"/>
      <c r="I383" s="88"/>
      <c r="J383" s="88"/>
      <c r="K383" s="88"/>
      <c r="L383" s="88"/>
      <c r="M383" s="88"/>
      <c r="N383" s="88"/>
      <c r="O383" s="86"/>
      <c r="P383" s="86"/>
      <c r="Q383" s="14" t="e">
        <v>#N/A</v>
      </c>
      <c r="R383" s="14" t="e">
        <v>#N/A</v>
      </c>
      <c r="S383" s="14"/>
      <c r="T383" s="90"/>
      <c r="U383" s="14"/>
      <c r="V383" s="14"/>
      <c r="W383" s="87"/>
      <c r="X383" s="86"/>
      <c r="Y383" s="96">
        <f ca="1">Table24[[#This Row],[End Date]]+2-TODAY()</f>
        <v>-45816</v>
      </c>
      <c r="Z383" s="14">
        <f>IF(ISBLANK(Table24[[#This Row],[Roster Received By]]),1,0)</f>
        <v>1</v>
      </c>
      <c r="AA383" s="87">
        <f ca="1">IF(Table24[[#This Row],[Start Date]]&gt;TODAY(),1,)</f>
        <v>0</v>
      </c>
    </row>
    <row r="384" spans="1:27" s="52" customFormat="1" x14ac:dyDescent="0.25">
      <c r="B384" s="103"/>
      <c r="C384" s="87" t="e">
        <v>#N/A</v>
      </c>
      <c r="D384" s="87" t="e">
        <v>#N/A</v>
      </c>
      <c r="E384" s="57"/>
      <c r="F384" s="56"/>
      <c r="G384" s="56"/>
      <c r="H384" s="56"/>
      <c r="I384" s="88"/>
      <c r="J384" s="88"/>
      <c r="K384" s="88"/>
      <c r="L384" s="88"/>
      <c r="M384" s="88"/>
      <c r="N384" s="88"/>
      <c r="O384" s="86"/>
      <c r="P384" s="86"/>
      <c r="Q384" s="14" t="e">
        <v>#N/A</v>
      </c>
      <c r="R384" s="14" t="e">
        <v>#N/A</v>
      </c>
      <c r="S384" s="14"/>
      <c r="T384" s="90"/>
      <c r="U384" s="14"/>
      <c r="V384" s="14"/>
      <c r="W384" s="87"/>
      <c r="X384" s="86"/>
      <c r="Y384" s="96">
        <f ca="1">Table24[[#This Row],[End Date]]+2-TODAY()</f>
        <v>-45816</v>
      </c>
      <c r="Z384" s="14">
        <f>IF(ISBLANK(Table24[[#This Row],[Roster Received By]]),1,0)</f>
        <v>1</v>
      </c>
      <c r="AA384" s="87">
        <f ca="1">IF(Table24[[#This Row],[Start Date]]&gt;TODAY(),1,)</f>
        <v>0</v>
      </c>
    </row>
    <row r="385" spans="1:27" s="52" customFormat="1" x14ac:dyDescent="0.25">
      <c r="B385" s="103"/>
      <c r="C385" s="87" t="e">
        <v>#N/A</v>
      </c>
      <c r="D385" s="87" t="e">
        <v>#N/A</v>
      </c>
      <c r="E385" s="57"/>
      <c r="F385" s="56"/>
      <c r="G385" s="56"/>
      <c r="H385" s="88"/>
      <c r="I385" s="88"/>
      <c r="J385" s="89"/>
      <c r="K385" s="89"/>
      <c r="L385" s="89"/>
      <c r="M385" s="89"/>
      <c r="N385" s="89"/>
      <c r="O385" s="86"/>
      <c r="P385" s="86"/>
      <c r="Q385" s="14" t="e">
        <v>#N/A</v>
      </c>
      <c r="R385" s="14" t="e">
        <v>#N/A</v>
      </c>
      <c r="S385" s="14"/>
      <c r="T385" s="90"/>
      <c r="U385" s="14"/>
      <c r="V385" s="14"/>
      <c r="W385" s="87"/>
      <c r="X385" s="86"/>
      <c r="Y385" s="96">
        <f ca="1">Table24[[#This Row],[End Date]]+2-TODAY()</f>
        <v>-45816</v>
      </c>
      <c r="Z385" s="14">
        <f>IF(ISBLANK(Table24[[#This Row],[Roster Received By]]),1,0)</f>
        <v>1</v>
      </c>
      <c r="AA385" s="87">
        <f ca="1">IF(Table24[[#This Row],[Start Date]]&gt;TODAY(),1,)</f>
        <v>0</v>
      </c>
    </row>
    <row r="386" spans="1:27" s="52" customFormat="1" x14ac:dyDescent="0.25">
      <c r="B386" s="103"/>
      <c r="C386" s="87" t="e">
        <v>#N/A</v>
      </c>
      <c r="D386" s="87" t="e">
        <v>#N/A</v>
      </c>
      <c r="E386" s="86"/>
      <c r="F386" s="56"/>
      <c r="G386" s="89"/>
      <c r="H386" s="89"/>
      <c r="I386" s="88"/>
      <c r="J386" s="88"/>
      <c r="K386" s="88"/>
      <c r="L386" s="88"/>
      <c r="M386" s="88"/>
      <c r="N386" s="88"/>
      <c r="O386" s="86"/>
      <c r="P386" s="86"/>
      <c r="Q386" s="14" t="e">
        <v>#N/A</v>
      </c>
      <c r="R386" s="14" t="e">
        <v>#N/A</v>
      </c>
      <c r="S386" s="14"/>
      <c r="T386" s="90"/>
      <c r="U386" s="14"/>
      <c r="V386" s="14"/>
      <c r="W386" s="87"/>
      <c r="X386" s="86"/>
      <c r="Y386" s="96">
        <f ca="1">Table24[[#This Row],[End Date]]+2-TODAY()</f>
        <v>-45816</v>
      </c>
      <c r="Z386" s="14">
        <f>IF(ISBLANK(Table24[[#This Row],[Roster Received By]]),1,0)</f>
        <v>1</v>
      </c>
      <c r="AA386" s="87">
        <f ca="1">IF(Table24[[#This Row],[Start Date]]&gt;TODAY(),1,)</f>
        <v>0</v>
      </c>
    </row>
    <row r="387" spans="1:27" s="52" customFormat="1" x14ac:dyDescent="0.25">
      <c r="B387" s="103"/>
      <c r="C387" s="87" t="e">
        <v>#N/A</v>
      </c>
      <c r="D387" s="87" t="e">
        <v>#N/A</v>
      </c>
      <c r="E387" s="103"/>
      <c r="F387" s="89"/>
      <c r="G387" s="89"/>
      <c r="H387" s="89"/>
      <c r="I387" s="88"/>
      <c r="J387" s="88"/>
      <c r="K387" s="88"/>
      <c r="L387" s="88"/>
      <c r="M387" s="88"/>
      <c r="N387" s="88"/>
      <c r="O387" s="86"/>
      <c r="P387" s="86"/>
      <c r="Q387" s="14" t="e">
        <v>#N/A</v>
      </c>
      <c r="R387" s="14" t="e">
        <v>#N/A</v>
      </c>
      <c r="S387" s="14"/>
      <c r="T387" s="90"/>
      <c r="U387" s="14"/>
      <c r="V387" s="14"/>
      <c r="W387" s="87"/>
      <c r="X387" s="86"/>
      <c r="Y387" s="96">
        <f ca="1">Table24[[#This Row],[End Date]]+2-TODAY()</f>
        <v>-45816</v>
      </c>
      <c r="Z387" s="14">
        <f>IF(ISBLANK(Table24[[#This Row],[Roster Received By]]),1,0)</f>
        <v>1</v>
      </c>
      <c r="AA387" s="87">
        <f ca="1">IF(Table24[[#This Row],[Start Date]]&gt;TODAY(),1,)</f>
        <v>0</v>
      </c>
    </row>
    <row r="388" spans="1:27" s="52" customFormat="1" x14ac:dyDescent="0.25">
      <c r="B388" s="55"/>
      <c r="C388" s="87" t="e">
        <v>#N/A</v>
      </c>
      <c r="D388" s="87" t="e">
        <v>#N/A</v>
      </c>
      <c r="E388" s="57"/>
      <c r="F388" s="56"/>
      <c r="G388" s="56"/>
      <c r="H388" s="88"/>
      <c r="I388" s="88"/>
      <c r="J388" s="89"/>
      <c r="K388" s="89"/>
      <c r="L388" s="89"/>
      <c r="M388" s="89"/>
      <c r="N388" s="89"/>
      <c r="O388" s="86"/>
      <c r="P388" s="86"/>
      <c r="Q388" s="14" t="e">
        <v>#N/A</v>
      </c>
      <c r="R388" s="14" t="e">
        <v>#N/A</v>
      </c>
      <c r="S388" s="14"/>
      <c r="T388" s="90"/>
      <c r="U388" s="14"/>
      <c r="V388" s="14"/>
      <c r="W388" s="87"/>
      <c r="X388" s="86"/>
      <c r="Y388" s="96">
        <f ca="1">Table24[[#This Row],[End Date]]+2-TODAY()</f>
        <v>-45816</v>
      </c>
      <c r="Z388" s="14">
        <f>IF(ISBLANK(Table24[[#This Row],[Roster Received By]]),1,0)</f>
        <v>1</v>
      </c>
      <c r="AA388" s="87">
        <f ca="1">IF(Table24[[#This Row],[Start Date]]&gt;TODAY(),1,)</f>
        <v>0</v>
      </c>
    </row>
    <row r="389" spans="1:27" s="52" customFormat="1" x14ac:dyDescent="0.25">
      <c r="B389" s="103"/>
      <c r="C389" s="87" t="e">
        <v>#N/A</v>
      </c>
      <c r="D389" s="87" t="e">
        <v>#N/A</v>
      </c>
      <c r="E389" s="57"/>
      <c r="F389" s="89"/>
      <c r="G389" s="89"/>
      <c r="H389" s="92"/>
      <c r="I389" s="92"/>
      <c r="J389" s="89"/>
      <c r="K389" s="89"/>
      <c r="L389" s="89"/>
      <c r="M389" s="89"/>
      <c r="N389" s="89"/>
      <c r="O389" s="86"/>
      <c r="P389" s="86"/>
      <c r="Q389" s="14" t="e">
        <v>#N/A</v>
      </c>
      <c r="R389" s="14" t="e">
        <v>#N/A</v>
      </c>
      <c r="S389" s="14"/>
      <c r="T389" s="90"/>
      <c r="U389" s="14"/>
      <c r="V389" s="14"/>
      <c r="W389" s="87"/>
      <c r="X389" s="86"/>
      <c r="Y389" s="96">
        <f ca="1">Table24[[#This Row],[End Date]]+2-TODAY()</f>
        <v>-45816</v>
      </c>
      <c r="Z389" s="14">
        <f>IF(ISBLANK(Table24[[#This Row],[Roster Received By]]),1,0)</f>
        <v>1</v>
      </c>
      <c r="AA389" s="87">
        <f ca="1">IF(Table24[[#This Row],[Start Date]]&gt;TODAY(),1,)</f>
        <v>0</v>
      </c>
    </row>
    <row r="390" spans="1:27" s="52" customFormat="1" x14ac:dyDescent="0.25">
      <c r="A390" s="86"/>
      <c r="B390" s="86"/>
      <c r="C390" s="87" t="e">
        <v>#N/A</v>
      </c>
      <c r="D390" s="87" t="e">
        <v>#N/A</v>
      </c>
      <c r="E390" s="109"/>
      <c r="F390" s="89"/>
      <c r="G390" s="89"/>
      <c r="H390" s="89"/>
      <c r="I390" s="88"/>
      <c r="J390" s="88"/>
      <c r="K390" s="88"/>
      <c r="L390" s="88"/>
      <c r="M390" s="88"/>
      <c r="N390" s="88"/>
      <c r="O390" s="86"/>
      <c r="P390" s="86"/>
      <c r="Q390" s="14" t="e">
        <v>#N/A</v>
      </c>
      <c r="R390" s="14" t="e">
        <v>#N/A</v>
      </c>
      <c r="S390" s="14"/>
      <c r="T390" s="90"/>
      <c r="U390" s="14"/>
      <c r="V390" s="14"/>
      <c r="W390" s="87"/>
      <c r="X390" s="86"/>
      <c r="Y390" s="96">
        <f ca="1">Table24[[#This Row],[End Date]]+2-TODAY()</f>
        <v>-45816</v>
      </c>
      <c r="Z390" s="14">
        <f>IF(ISBLANK(Table24[[#This Row],[Roster Received By]]),1,0)</f>
        <v>1</v>
      </c>
      <c r="AA390" s="87">
        <f ca="1">IF(Table24[[#This Row],[Start Date]]&gt;TODAY(),1,)</f>
        <v>0</v>
      </c>
    </row>
    <row r="391" spans="1:27" s="52" customFormat="1" x14ac:dyDescent="0.25">
      <c r="B391" s="86"/>
      <c r="C391" s="87" t="e">
        <v>#N/A</v>
      </c>
      <c r="D391" s="87" t="e">
        <v>#N/A</v>
      </c>
      <c r="E391" s="109"/>
      <c r="F391" s="89"/>
      <c r="G391" s="89"/>
      <c r="H391" s="89"/>
      <c r="I391" s="88"/>
      <c r="J391" s="88"/>
      <c r="K391" s="88"/>
      <c r="L391" s="88"/>
      <c r="M391" s="88"/>
      <c r="N391" s="88"/>
      <c r="O391" s="86"/>
      <c r="P391" s="86"/>
      <c r="Q391" s="14" t="e">
        <v>#N/A</v>
      </c>
      <c r="R391" s="14" t="e">
        <v>#N/A</v>
      </c>
      <c r="S391" s="14"/>
      <c r="T391" s="90"/>
      <c r="U391" s="14"/>
      <c r="V391" s="14"/>
      <c r="W391" s="87"/>
      <c r="X391" s="86"/>
      <c r="Y391" s="96">
        <f ca="1">Table24[[#This Row],[End Date]]+2-TODAY()</f>
        <v>-45816</v>
      </c>
      <c r="Z391" s="14">
        <f>IF(ISBLANK(Table24[[#This Row],[Roster Received By]]),1,0)</f>
        <v>1</v>
      </c>
      <c r="AA391" s="87">
        <f ca="1">IF(Table24[[#This Row],[Start Date]]&gt;TODAY(),1,)</f>
        <v>0</v>
      </c>
    </row>
    <row r="392" spans="1:27" s="52" customFormat="1" x14ac:dyDescent="0.25">
      <c r="B392" s="103"/>
      <c r="C392" s="87" t="e">
        <v>#N/A</v>
      </c>
      <c r="D392" s="87" t="e">
        <v>#N/A</v>
      </c>
      <c r="E392" s="109"/>
      <c r="F392" s="89"/>
      <c r="G392" s="89"/>
      <c r="H392" s="89"/>
      <c r="I392" s="88"/>
      <c r="J392" s="88"/>
      <c r="K392" s="88"/>
      <c r="L392" s="88"/>
      <c r="M392" s="88"/>
      <c r="N392" s="88"/>
      <c r="O392" s="86"/>
      <c r="P392" s="86"/>
      <c r="Q392" s="14" t="e">
        <v>#N/A</v>
      </c>
      <c r="R392" s="14" t="e">
        <v>#N/A</v>
      </c>
      <c r="S392" s="14"/>
      <c r="T392" s="90"/>
      <c r="U392" s="14"/>
      <c r="V392" s="14"/>
      <c r="W392" s="87"/>
      <c r="X392" s="86"/>
      <c r="Y392" s="96">
        <f ca="1">Table24[[#This Row],[End Date]]+2-TODAY()</f>
        <v>-45816</v>
      </c>
      <c r="Z392" s="14">
        <f>IF(ISBLANK(Table24[[#This Row],[Roster Received By]]),1,0)</f>
        <v>1</v>
      </c>
      <c r="AA392" s="87">
        <f ca="1">IF(Table24[[#This Row],[Start Date]]&gt;TODAY(),1,)</f>
        <v>0</v>
      </c>
    </row>
    <row r="393" spans="1:27" s="52" customFormat="1" x14ac:dyDescent="0.25">
      <c r="B393" s="103"/>
      <c r="C393" s="87" t="e">
        <v>#N/A</v>
      </c>
      <c r="D393" s="87" t="e">
        <v>#N/A</v>
      </c>
      <c r="E393" s="57"/>
      <c r="F393" s="89"/>
      <c r="G393" s="89"/>
      <c r="H393" s="95"/>
      <c r="I393" s="95"/>
      <c r="J393" s="89"/>
      <c r="K393" s="89"/>
      <c r="L393" s="89"/>
      <c r="M393" s="89"/>
      <c r="N393" s="89"/>
      <c r="O393" s="86"/>
      <c r="P393" s="86"/>
      <c r="Q393" s="14" t="e">
        <v>#N/A</v>
      </c>
      <c r="R393" s="14" t="e">
        <v>#N/A</v>
      </c>
      <c r="S393" s="14"/>
      <c r="T393" s="90"/>
      <c r="U393" s="14"/>
      <c r="V393" s="14"/>
      <c r="W393" s="87"/>
      <c r="X393" s="86"/>
      <c r="Y393" s="96">
        <f ca="1">Table24[[#This Row],[End Date]]+2-TODAY()</f>
        <v>-45816</v>
      </c>
      <c r="Z393" s="14">
        <f>IF(ISBLANK(Table24[[#This Row],[Roster Received By]]),1,0)</f>
        <v>1</v>
      </c>
      <c r="AA393" s="87">
        <f ca="1">IF(Table24[[#This Row],[Start Date]]&gt;TODAY(),1,)</f>
        <v>0</v>
      </c>
    </row>
    <row r="394" spans="1:27" s="52" customFormat="1" x14ac:dyDescent="0.25">
      <c r="B394" s="86"/>
      <c r="C394" s="87" t="e">
        <v>#N/A</v>
      </c>
      <c r="D394" s="87" t="e">
        <v>#N/A</v>
      </c>
      <c r="E394" s="86"/>
      <c r="F394" s="89"/>
      <c r="G394" s="89"/>
      <c r="H394" s="89"/>
      <c r="I394" s="88"/>
      <c r="J394" s="88"/>
      <c r="K394" s="88"/>
      <c r="L394" s="88"/>
      <c r="M394" s="88"/>
      <c r="N394" s="88"/>
      <c r="O394" s="86"/>
      <c r="P394" s="86"/>
      <c r="Q394" s="14" t="e">
        <v>#N/A</v>
      </c>
      <c r="R394" s="14" t="e">
        <v>#N/A</v>
      </c>
      <c r="S394" s="14"/>
      <c r="T394" s="90"/>
      <c r="U394" s="14"/>
      <c r="V394" s="14"/>
      <c r="W394" s="87"/>
      <c r="X394" s="86"/>
      <c r="Y394" s="96">
        <f ca="1">Table24[[#This Row],[End Date]]+2-TODAY()</f>
        <v>-45816</v>
      </c>
      <c r="Z394" s="14">
        <f>IF(ISBLANK(Table24[[#This Row],[Roster Received By]]),1,0)</f>
        <v>1</v>
      </c>
      <c r="AA394" s="87">
        <f ca="1">IF(Table24[[#This Row],[Start Date]]&gt;TODAY(),1,)</f>
        <v>0</v>
      </c>
    </row>
    <row r="395" spans="1:27" s="52" customFormat="1" x14ac:dyDescent="0.25">
      <c r="A395" s="86"/>
      <c r="B395" s="86"/>
      <c r="C395" s="87" t="e">
        <v>#N/A</v>
      </c>
      <c r="D395" s="87" t="e">
        <v>#N/A</v>
      </c>
      <c r="E395" s="109"/>
      <c r="F395" s="89"/>
      <c r="G395" s="89"/>
      <c r="H395" s="89"/>
      <c r="I395" s="88"/>
      <c r="J395" s="88"/>
      <c r="K395" s="88"/>
      <c r="L395" s="88"/>
      <c r="M395" s="88"/>
      <c r="N395" s="88"/>
      <c r="O395" s="86"/>
      <c r="P395" s="86"/>
      <c r="Q395" s="14" t="e">
        <v>#N/A</v>
      </c>
      <c r="R395" s="14" t="e">
        <v>#N/A</v>
      </c>
      <c r="S395" s="14"/>
      <c r="T395" s="90"/>
      <c r="U395" s="14"/>
      <c r="V395" s="14"/>
      <c r="W395" s="87"/>
      <c r="X395" s="86"/>
      <c r="Y395" s="96">
        <f ca="1">Table24[[#This Row],[End Date]]+2-TODAY()</f>
        <v>-45816</v>
      </c>
      <c r="Z395" s="14">
        <f>IF(ISBLANK(Table24[[#This Row],[Roster Received By]]),1,0)</f>
        <v>1</v>
      </c>
      <c r="AA395" s="87">
        <f ca="1">IF(Table24[[#This Row],[Start Date]]&gt;TODAY(),1,)</f>
        <v>0</v>
      </c>
    </row>
    <row r="396" spans="1:27" s="52" customFormat="1" x14ac:dyDescent="0.25">
      <c r="B396" s="86"/>
      <c r="C396" s="87" t="e">
        <v>#N/A</v>
      </c>
      <c r="D396" s="87" t="e">
        <v>#N/A</v>
      </c>
      <c r="E396" s="109"/>
      <c r="F396" s="89"/>
      <c r="G396" s="89"/>
      <c r="H396" s="92"/>
      <c r="I396" s="92"/>
      <c r="J396" s="89"/>
      <c r="K396" s="89"/>
      <c r="L396" s="112"/>
      <c r="M396" s="89"/>
      <c r="N396" s="89"/>
      <c r="O396" s="86"/>
      <c r="P396" s="86"/>
      <c r="Q396" s="14" t="e">
        <v>#N/A</v>
      </c>
      <c r="R396" s="14" t="e">
        <v>#N/A</v>
      </c>
      <c r="S396" s="90"/>
      <c r="T396" s="90"/>
      <c r="U396" s="14"/>
      <c r="V396" s="14"/>
      <c r="W396" s="87"/>
      <c r="X396" s="86"/>
      <c r="Y396" s="96">
        <f ca="1">Table24[[#This Row],[End Date]]+2-TODAY()</f>
        <v>-45816</v>
      </c>
      <c r="Z396" s="14">
        <f>IF(ISBLANK(Table24[[#This Row],[Roster Received By]]),1,0)</f>
        <v>1</v>
      </c>
      <c r="AA396" s="87">
        <f ca="1">IF(Table24[[#This Row],[Start Date]]&gt;TODAY(),1,)</f>
        <v>0</v>
      </c>
    </row>
    <row r="397" spans="1:27" s="52" customFormat="1" x14ac:dyDescent="0.25">
      <c r="B397" s="86"/>
      <c r="C397" s="87" t="e">
        <v>#N/A</v>
      </c>
      <c r="D397" s="87" t="e">
        <v>#N/A</v>
      </c>
      <c r="E397" s="109"/>
      <c r="F397" s="89"/>
      <c r="G397" s="89"/>
      <c r="H397" s="92"/>
      <c r="I397" s="92"/>
      <c r="J397" s="89"/>
      <c r="K397" s="89"/>
      <c r="L397" s="89"/>
      <c r="M397" s="89"/>
      <c r="N397" s="89"/>
      <c r="O397" s="86"/>
      <c r="P397" s="86"/>
      <c r="Q397" s="14" t="e">
        <v>#N/A</v>
      </c>
      <c r="R397" s="14" t="e">
        <v>#N/A</v>
      </c>
      <c r="S397" s="14"/>
      <c r="T397" s="90"/>
      <c r="U397" s="14"/>
      <c r="V397" s="14"/>
      <c r="W397" s="14"/>
      <c r="X397" s="86"/>
      <c r="Y397" s="59">
        <f ca="1">Table24[[#This Row],[End Date]]+2-TODAY()</f>
        <v>-45816</v>
      </c>
      <c r="Z397" s="14">
        <f>IF(ISBLANK(Table24[[#This Row],[Roster Received By]]),1,0)</f>
        <v>1</v>
      </c>
      <c r="AA397" s="14">
        <f ca="1">IF(Table24[[#This Row],[Start Date]]&gt;TODAY(),1,)</f>
        <v>0</v>
      </c>
    </row>
    <row r="398" spans="1:27" s="52" customFormat="1" x14ac:dyDescent="0.25">
      <c r="B398" s="86"/>
      <c r="C398" s="87" t="e">
        <v>#N/A</v>
      </c>
      <c r="D398" s="87" t="e">
        <v>#N/A</v>
      </c>
      <c r="E398" s="55"/>
      <c r="F398" s="56"/>
      <c r="G398" s="56"/>
      <c r="H398" s="88"/>
      <c r="I398" s="88"/>
      <c r="J398" s="89"/>
      <c r="K398" s="89"/>
      <c r="L398" s="89"/>
      <c r="M398" s="89"/>
      <c r="N398" s="89"/>
      <c r="O398" s="86"/>
      <c r="P398" s="86"/>
      <c r="Q398" s="14" t="e">
        <v>#N/A</v>
      </c>
      <c r="R398" s="14" t="e">
        <v>#N/A</v>
      </c>
      <c r="S398" s="14"/>
      <c r="T398" s="90"/>
      <c r="U398" s="14"/>
      <c r="V398" s="14"/>
      <c r="W398" s="14"/>
      <c r="X398" s="86"/>
      <c r="Y398" s="59">
        <f ca="1">Table24[[#This Row],[End Date]]+2-TODAY()</f>
        <v>-45816</v>
      </c>
      <c r="Z398" s="14">
        <f>IF(ISBLANK(Table24[[#This Row],[Roster Received By]]),1,0)</f>
        <v>1</v>
      </c>
      <c r="AA398" s="14">
        <f ca="1">IF(Table24[[#This Row],[Start Date]]&gt;TODAY(),1,)</f>
        <v>0</v>
      </c>
    </row>
    <row r="399" spans="1:27" s="52" customFormat="1" x14ac:dyDescent="0.25">
      <c r="B399" s="86"/>
      <c r="C399" s="87" t="e">
        <v>#N/A</v>
      </c>
      <c r="D399" s="87" t="e">
        <v>#N/A</v>
      </c>
      <c r="E399" s="57"/>
      <c r="F399" s="89"/>
      <c r="G399" s="89"/>
      <c r="H399" s="92"/>
      <c r="I399" s="92"/>
      <c r="J399" s="89"/>
      <c r="K399" s="89"/>
      <c r="L399" s="89"/>
      <c r="M399" s="89"/>
      <c r="N399" s="89"/>
      <c r="O399" s="86"/>
      <c r="P399" s="86"/>
      <c r="Q399" s="14" t="e">
        <v>#N/A</v>
      </c>
      <c r="R399" s="14" t="e">
        <v>#N/A</v>
      </c>
      <c r="S399" s="14"/>
      <c r="T399" s="90"/>
      <c r="U399" s="14"/>
      <c r="V399" s="14"/>
      <c r="W399" s="87"/>
      <c r="X399" s="86"/>
      <c r="Y399" s="96">
        <f ca="1">Table24[[#This Row],[End Date]]+2-TODAY()</f>
        <v>-45816</v>
      </c>
      <c r="Z399" s="14">
        <f>IF(ISBLANK(Table24[[#This Row],[Roster Received By]]),1,0)</f>
        <v>1</v>
      </c>
      <c r="AA399" s="87">
        <f ca="1">IF(Table24[[#This Row],[Start Date]]&gt;TODAY(),1,)</f>
        <v>0</v>
      </c>
    </row>
    <row r="400" spans="1:27" s="52" customFormat="1" x14ac:dyDescent="0.25">
      <c r="B400" s="103"/>
      <c r="C400" s="87" t="e">
        <v>#N/A</v>
      </c>
      <c r="D400" s="87" t="e">
        <v>#N/A</v>
      </c>
      <c r="E400" s="57"/>
      <c r="F400" s="89"/>
      <c r="G400" s="89"/>
      <c r="H400" s="92"/>
      <c r="I400" s="92"/>
      <c r="J400" s="89"/>
      <c r="K400" s="89"/>
      <c r="L400" s="89"/>
      <c r="M400" s="89"/>
      <c r="N400" s="89"/>
      <c r="O400" s="86"/>
      <c r="P400" s="86"/>
      <c r="Q400" s="14" t="e">
        <v>#N/A</v>
      </c>
      <c r="R400" s="14" t="e">
        <v>#N/A</v>
      </c>
      <c r="S400" s="14"/>
      <c r="T400" s="90"/>
      <c r="U400" s="14"/>
      <c r="V400" s="14"/>
      <c r="W400" s="87"/>
      <c r="X400" s="86"/>
      <c r="Y400" s="96">
        <f ca="1">Table24[[#This Row],[End Date]]+2-TODAY()</f>
        <v>-45816</v>
      </c>
      <c r="Z400" s="14">
        <f>IF(ISBLANK(Table24[[#This Row],[Roster Received By]]),1,0)</f>
        <v>1</v>
      </c>
      <c r="AA400" s="87">
        <f ca="1">IF(Table24[[#This Row],[Start Date]]&gt;TODAY(),1,)</f>
        <v>0</v>
      </c>
    </row>
    <row r="401" spans="1:27" s="52" customFormat="1" x14ac:dyDescent="0.25">
      <c r="B401" s="86"/>
      <c r="C401" s="87" t="e">
        <v>#N/A</v>
      </c>
      <c r="D401" s="87" t="e">
        <v>#N/A</v>
      </c>
      <c r="E401" s="109"/>
      <c r="F401" s="89"/>
      <c r="G401" s="89"/>
      <c r="H401" s="92"/>
      <c r="I401" s="92"/>
      <c r="J401" s="89"/>
      <c r="K401" s="89"/>
      <c r="L401" s="89"/>
      <c r="M401" s="89"/>
      <c r="N401" s="89"/>
      <c r="O401" s="86"/>
      <c r="P401" s="86"/>
      <c r="Q401" s="14" t="e">
        <v>#N/A</v>
      </c>
      <c r="R401" s="14" t="e">
        <v>#N/A</v>
      </c>
      <c r="S401" s="90"/>
      <c r="T401" s="90"/>
      <c r="U401" s="14"/>
      <c r="V401" s="14"/>
      <c r="W401" s="87"/>
      <c r="X401" s="86"/>
      <c r="Y401" s="96">
        <f ca="1">Table24[[#This Row],[End Date]]+2-TODAY()</f>
        <v>-45816</v>
      </c>
      <c r="Z401" s="14">
        <f>IF(ISBLANK(Table24[[#This Row],[Roster Received By]]),1,0)</f>
        <v>1</v>
      </c>
      <c r="AA401" s="87">
        <f ca="1">IF(Table24[[#This Row],[Start Date]]&gt;TODAY(),1,)</f>
        <v>0</v>
      </c>
    </row>
    <row r="402" spans="1:27" s="52" customFormat="1" x14ac:dyDescent="0.25">
      <c r="B402" s="86"/>
      <c r="C402" s="87" t="e">
        <v>#N/A</v>
      </c>
      <c r="D402" s="87" t="e">
        <v>#N/A</v>
      </c>
      <c r="E402" s="109"/>
      <c r="F402" s="89"/>
      <c r="G402" s="89"/>
      <c r="H402" s="92"/>
      <c r="I402" s="92"/>
      <c r="J402" s="92"/>
      <c r="K402" s="92"/>
      <c r="L402" s="92"/>
      <c r="M402" s="92"/>
      <c r="N402" s="92"/>
      <c r="O402" s="86"/>
      <c r="P402" s="86"/>
      <c r="Q402" s="14" t="e">
        <v>#N/A</v>
      </c>
      <c r="R402" s="14" t="e">
        <v>#N/A</v>
      </c>
      <c r="S402" s="14"/>
      <c r="T402" s="90"/>
      <c r="U402" s="14"/>
      <c r="V402" s="14"/>
      <c r="W402" s="14"/>
      <c r="X402" s="86"/>
      <c r="Y402" s="96">
        <f ca="1">Table24[[#This Row],[End Date]]+2-TODAY()</f>
        <v>-45816</v>
      </c>
      <c r="Z402" s="14">
        <f>IF(ISBLANK(Table24[[#This Row],[Roster Received By]]),1,0)</f>
        <v>1</v>
      </c>
      <c r="AA402" s="87">
        <f ca="1">IF(Table24[[#This Row],[Start Date]]&gt;TODAY(),1,)</f>
        <v>0</v>
      </c>
    </row>
    <row r="403" spans="1:27" s="52" customFormat="1" x14ac:dyDescent="0.25">
      <c r="B403" s="86"/>
      <c r="C403" s="87" t="e">
        <v>#N/A</v>
      </c>
      <c r="D403" s="87" t="e">
        <v>#N/A</v>
      </c>
      <c r="E403" s="86"/>
      <c r="F403" s="89"/>
      <c r="G403" s="89"/>
      <c r="H403" s="89"/>
      <c r="I403" s="88"/>
      <c r="J403" s="88"/>
      <c r="K403" s="88"/>
      <c r="L403" s="88"/>
      <c r="M403" s="88"/>
      <c r="N403" s="88"/>
      <c r="O403" s="86"/>
      <c r="P403" s="86"/>
      <c r="Q403" s="14" t="e">
        <v>#N/A</v>
      </c>
      <c r="R403" s="14" t="e">
        <v>#N/A</v>
      </c>
      <c r="S403" s="14"/>
      <c r="T403" s="90"/>
      <c r="U403" s="14"/>
      <c r="V403" s="14"/>
      <c r="W403" s="87"/>
      <c r="X403" s="86"/>
      <c r="Y403" s="96">
        <f ca="1">Table24[[#This Row],[End Date]]+2-TODAY()</f>
        <v>-45816</v>
      </c>
      <c r="Z403" s="14">
        <f>IF(ISBLANK(Table24[[#This Row],[Roster Received By]]),1,0)</f>
        <v>1</v>
      </c>
      <c r="AA403" s="87">
        <f ca="1">IF(Table24[[#This Row],[Start Date]]&gt;TODAY(),1,)</f>
        <v>0</v>
      </c>
    </row>
    <row r="404" spans="1:27" s="52" customFormat="1" x14ac:dyDescent="0.25">
      <c r="B404" s="86"/>
      <c r="C404" s="87" t="e">
        <v>#N/A</v>
      </c>
      <c r="D404" s="87" t="e">
        <v>#N/A</v>
      </c>
      <c r="E404" s="86"/>
      <c r="F404" s="89"/>
      <c r="G404" s="89"/>
      <c r="H404" s="92"/>
      <c r="I404" s="92"/>
      <c r="J404" s="92"/>
      <c r="K404" s="92"/>
      <c r="L404" s="92"/>
      <c r="M404" s="92"/>
      <c r="N404" s="89"/>
      <c r="O404" s="86"/>
      <c r="P404" s="86"/>
      <c r="Q404" s="14" t="e">
        <v>#N/A</v>
      </c>
      <c r="R404" s="14" t="e">
        <v>#N/A</v>
      </c>
      <c r="S404" s="14"/>
      <c r="T404" s="90"/>
      <c r="U404" s="14"/>
      <c r="V404" s="14"/>
      <c r="W404" s="87"/>
      <c r="X404" s="86"/>
      <c r="Y404" s="96">
        <f ca="1">Table24[[#This Row],[End Date]]+2-TODAY()</f>
        <v>-45816</v>
      </c>
      <c r="Z404" s="14">
        <f>IF(ISBLANK(Table24[[#This Row],[Roster Received By]]),1,0)</f>
        <v>1</v>
      </c>
      <c r="AA404" s="87">
        <f ca="1">IF(Table24[[#This Row],[Start Date]]&gt;TODAY(),1,)</f>
        <v>0</v>
      </c>
    </row>
    <row r="405" spans="1:27" s="52" customFormat="1" x14ac:dyDescent="0.25">
      <c r="B405" s="103"/>
      <c r="C405" s="87" t="e">
        <v>#N/A</v>
      </c>
      <c r="D405" s="87" t="e">
        <v>#N/A</v>
      </c>
      <c r="E405" s="86"/>
      <c r="F405" s="89"/>
      <c r="G405" s="89"/>
      <c r="H405" s="92"/>
      <c r="I405" s="92"/>
      <c r="J405" s="89"/>
      <c r="K405" s="89"/>
      <c r="L405" s="89"/>
      <c r="M405" s="89"/>
      <c r="N405" s="89"/>
      <c r="O405" s="86"/>
      <c r="P405" s="86"/>
      <c r="Q405" s="14" t="e">
        <v>#N/A</v>
      </c>
      <c r="R405" s="14" t="e">
        <v>#N/A</v>
      </c>
      <c r="S405" s="14"/>
      <c r="T405" s="90"/>
      <c r="U405" s="14"/>
      <c r="V405" s="14"/>
      <c r="W405" s="87"/>
      <c r="X405" s="86"/>
      <c r="Y405" s="96">
        <f ca="1">Table24[[#This Row],[End Date]]+2-TODAY()</f>
        <v>-45816</v>
      </c>
      <c r="Z405" s="14">
        <f>IF(ISBLANK(Table24[[#This Row],[Roster Received By]]),1,0)</f>
        <v>1</v>
      </c>
      <c r="AA405" s="87">
        <f ca="1">IF(Table24[[#This Row],[Start Date]]&gt;TODAY(),1,)</f>
        <v>0</v>
      </c>
    </row>
    <row r="406" spans="1:27" s="52" customFormat="1" x14ac:dyDescent="0.25">
      <c r="A406" s="129"/>
      <c r="B406" s="86"/>
      <c r="C406" s="87" t="e">
        <v>#N/A</v>
      </c>
      <c r="D406" s="87" t="e">
        <v>#N/A</v>
      </c>
      <c r="E406" s="86"/>
      <c r="F406" s="89"/>
      <c r="G406" s="89"/>
      <c r="H406" s="92"/>
      <c r="I406" s="92"/>
      <c r="J406" s="89"/>
      <c r="K406" s="89"/>
      <c r="L406" s="89"/>
      <c r="M406" s="89"/>
      <c r="N406" s="89"/>
      <c r="O406" s="86"/>
      <c r="P406" s="86"/>
      <c r="Q406" s="14" t="e">
        <v>#N/A</v>
      </c>
      <c r="R406" s="14" t="e">
        <v>#N/A</v>
      </c>
      <c r="S406" s="90"/>
      <c r="T406" s="90"/>
      <c r="U406" s="14"/>
      <c r="V406" s="14"/>
      <c r="W406" s="87"/>
      <c r="X406" s="86"/>
      <c r="Y406" s="96">
        <f ca="1">Table24[[#This Row],[End Date]]+2-TODAY()</f>
        <v>-45816</v>
      </c>
      <c r="Z406" s="14">
        <f>IF(ISBLANK(Table24[[#This Row],[Roster Received By]]),1,0)</f>
        <v>1</v>
      </c>
      <c r="AA406" s="87">
        <f ca="1">IF(Table24[[#This Row],[Start Date]]&gt;TODAY(),1,)</f>
        <v>0</v>
      </c>
    </row>
    <row r="407" spans="1:27" s="52" customFormat="1" x14ac:dyDescent="0.25">
      <c r="B407" s="86"/>
      <c r="C407" s="87" t="e">
        <v>#N/A</v>
      </c>
      <c r="D407" s="87" t="e">
        <v>#N/A</v>
      </c>
      <c r="E407" s="101"/>
      <c r="F407" s="102"/>
      <c r="G407" s="102"/>
      <c r="H407" s="102"/>
      <c r="I407" s="88"/>
      <c r="J407" s="88"/>
      <c r="K407" s="88"/>
      <c r="L407" s="88"/>
      <c r="M407" s="88"/>
      <c r="N407" s="88"/>
      <c r="O407" s="86"/>
      <c r="P407" s="86"/>
      <c r="Q407" s="14" t="e">
        <v>#N/A</v>
      </c>
      <c r="R407" s="14" t="e">
        <v>#N/A</v>
      </c>
      <c r="S407" s="14"/>
      <c r="T407" s="90"/>
      <c r="U407" s="14"/>
      <c r="V407" s="14"/>
      <c r="W407" s="87"/>
      <c r="X407" s="86"/>
      <c r="Y407" s="96">
        <f ca="1">Table24[[#This Row],[End Date]]+2-TODAY()</f>
        <v>-45816</v>
      </c>
      <c r="Z407" s="14">
        <f>IF(ISBLANK(Table24[[#This Row],[Roster Received By]]),1,0)</f>
        <v>1</v>
      </c>
      <c r="AA407" s="87">
        <f ca="1">IF(Table24[[#This Row],[Start Date]]&gt;TODAY(),1,)</f>
        <v>0</v>
      </c>
    </row>
    <row r="408" spans="1:27" s="52" customFormat="1" x14ac:dyDescent="0.25">
      <c r="B408" s="86"/>
      <c r="C408" s="87" t="e">
        <v>#N/A</v>
      </c>
      <c r="D408" s="87" t="e">
        <v>#N/A</v>
      </c>
      <c r="E408" s="54"/>
      <c r="F408" s="89"/>
      <c r="G408" s="89"/>
      <c r="H408" s="92"/>
      <c r="I408" s="92"/>
      <c r="J408" s="89"/>
      <c r="K408" s="89"/>
      <c r="L408" s="89"/>
      <c r="M408" s="89"/>
      <c r="N408" s="89"/>
      <c r="O408" s="86"/>
      <c r="P408" s="86"/>
      <c r="Q408" s="14" t="e">
        <v>#N/A</v>
      </c>
      <c r="R408" s="14" t="e">
        <v>#N/A</v>
      </c>
      <c r="S408" s="14"/>
      <c r="T408" s="90"/>
      <c r="U408" s="14"/>
      <c r="V408" s="14"/>
      <c r="W408" s="87"/>
      <c r="X408" s="86"/>
      <c r="Y408" s="96">
        <f ca="1">Table24[[#This Row],[End Date]]+2-TODAY()</f>
        <v>-45816</v>
      </c>
      <c r="Z408" s="14">
        <f>IF(ISBLANK(Table24[[#This Row],[Roster Received By]]),1,0)</f>
        <v>1</v>
      </c>
      <c r="AA408" s="87">
        <f ca="1">IF(Table24[[#This Row],[Start Date]]&gt;TODAY(),1,)</f>
        <v>0</v>
      </c>
    </row>
    <row r="409" spans="1:27" s="52" customFormat="1" x14ac:dyDescent="0.25">
      <c r="B409" s="86"/>
      <c r="C409" s="87" t="e">
        <v>#N/A</v>
      </c>
      <c r="D409" s="87" t="e">
        <v>#N/A</v>
      </c>
      <c r="E409" s="103"/>
      <c r="F409" s="97"/>
      <c r="G409" s="97"/>
      <c r="H409" s="92"/>
      <c r="I409" s="92"/>
      <c r="J409" s="89"/>
      <c r="K409" s="89"/>
      <c r="L409" s="89"/>
      <c r="M409" s="89"/>
      <c r="N409" s="89"/>
      <c r="O409" s="86"/>
      <c r="P409" s="86"/>
      <c r="Q409" s="14" t="e">
        <v>#N/A</v>
      </c>
      <c r="R409" s="14" t="e">
        <v>#N/A</v>
      </c>
      <c r="S409" s="14"/>
      <c r="T409" s="90"/>
      <c r="U409" s="14"/>
      <c r="V409" s="14"/>
      <c r="W409" s="87"/>
      <c r="X409" s="86"/>
      <c r="Y409" s="96">
        <f ca="1">Table24[[#This Row],[End Date]]+2-TODAY()</f>
        <v>-45816</v>
      </c>
      <c r="Z409" s="14">
        <f>IF(ISBLANK(Table24[[#This Row],[Roster Received By]]),1,0)</f>
        <v>1</v>
      </c>
      <c r="AA409" s="87">
        <f ca="1">IF(Table24[[#This Row],[Start Date]]&gt;TODAY(),1,)</f>
        <v>0</v>
      </c>
    </row>
    <row r="410" spans="1:27" s="52" customFormat="1" x14ac:dyDescent="0.25">
      <c r="B410" s="86"/>
      <c r="C410" s="87" t="e">
        <v>#N/A</v>
      </c>
      <c r="D410" s="87" t="e">
        <v>#N/A</v>
      </c>
      <c r="E410" s="103"/>
      <c r="F410" s="97"/>
      <c r="G410" s="97"/>
      <c r="H410" s="92"/>
      <c r="I410" s="92"/>
      <c r="J410" s="92"/>
      <c r="K410" s="92"/>
      <c r="L410" s="92"/>
      <c r="M410" s="92"/>
      <c r="N410" s="89"/>
      <c r="O410" s="86"/>
      <c r="P410" s="86"/>
      <c r="Q410" s="14" t="e">
        <v>#N/A</v>
      </c>
      <c r="R410" s="14" t="e">
        <v>#N/A</v>
      </c>
      <c r="S410" s="14"/>
      <c r="T410" s="90"/>
      <c r="U410" s="14"/>
      <c r="V410" s="14"/>
      <c r="W410" s="87"/>
      <c r="X410" s="86"/>
      <c r="Y410" s="96">
        <f ca="1">Table24[[#This Row],[End Date]]+2-TODAY()</f>
        <v>-45816</v>
      </c>
      <c r="Z410" s="14">
        <f>IF(ISBLANK(Table24[[#This Row],[Roster Received By]]),1,0)</f>
        <v>1</v>
      </c>
      <c r="AA410" s="87">
        <f ca="1">IF(Table24[[#This Row],[Start Date]]&gt;TODAY(),1,)</f>
        <v>0</v>
      </c>
    </row>
    <row r="411" spans="1:27" s="52" customFormat="1" x14ac:dyDescent="0.25">
      <c r="B411" s="86"/>
      <c r="C411" s="87" t="e">
        <v>#N/A</v>
      </c>
      <c r="D411" s="87" t="e">
        <v>#N/A</v>
      </c>
      <c r="E411" s="55"/>
      <c r="F411" s="85"/>
      <c r="G411" s="97"/>
      <c r="H411" s="92"/>
      <c r="I411" s="92"/>
      <c r="J411" s="89"/>
      <c r="K411" s="89"/>
      <c r="L411" s="89"/>
      <c r="M411" s="89"/>
      <c r="N411" s="89"/>
      <c r="O411" s="86"/>
      <c r="P411" s="86"/>
      <c r="Q411" s="14" t="e">
        <v>#N/A</v>
      </c>
      <c r="R411" s="14" t="e">
        <v>#N/A</v>
      </c>
      <c r="S411" s="14"/>
      <c r="T411" s="90"/>
      <c r="U411" s="14"/>
      <c r="V411" s="14"/>
      <c r="W411" s="87"/>
      <c r="X411" s="86"/>
      <c r="Y411" s="96">
        <f ca="1">Table24[[#This Row],[End Date]]+2-TODAY()</f>
        <v>-45816</v>
      </c>
      <c r="Z411" s="14">
        <f>IF(ISBLANK(Table24[[#This Row],[Roster Received By]]),1,0)</f>
        <v>1</v>
      </c>
      <c r="AA411" s="87">
        <f ca="1">IF(Table24[[#This Row],[Start Date]]&gt;TODAY(),1,)</f>
        <v>0</v>
      </c>
    </row>
    <row r="412" spans="1:27" s="52" customFormat="1" x14ac:dyDescent="0.25">
      <c r="B412" s="86"/>
      <c r="C412" s="87" t="e">
        <v>#N/A</v>
      </c>
      <c r="D412" s="87" t="e">
        <v>#N/A</v>
      </c>
      <c r="E412" s="109"/>
      <c r="F412" s="97"/>
      <c r="G412" s="97"/>
      <c r="H412" s="89"/>
      <c r="I412" s="88"/>
      <c r="J412" s="88"/>
      <c r="K412" s="88"/>
      <c r="L412" s="88"/>
      <c r="M412" s="88"/>
      <c r="N412" s="88"/>
      <c r="O412" s="86"/>
      <c r="P412" s="86"/>
      <c r="Q412" s="14" t="e">
        <v>#N/A</v>
      </c>
      <c r="R412" s="14" t="e">
        <v>#N/A</v>
      </c>
      <c r="S412" s="14"/>
      <c r="T412" s="90"/>
      <c r="U412" s="14"/>
      <c r="V412" s="14"/>
      <c r="W412" s="87"/>
      <c r="X412" s="86"/>
      <c r="Y412" s="96">
        <f ca="1">Table24[[#This Row],[End Date]]+2-TODAY()</f>
        <v>-45816</v>
      </c>
      <c r="Z412" s="14">
        <f>IF(ISBLANK(Table24[[#This Row],[Roster Received By]]),1,0)</f>
        <v>1</v>
      </c>
      <c r="AA412" s="87">
        <f ca="1">IF(Table24[[#This Row],[Start Date]]&gt;TODAY(),1,)</f>
        <v>0</v>
      </c>
    </row>
    <row r="413" spans="1:27" s="52" customFormat="1" x14ac:dyDescent="0.25">
      <c r="B413" s="86"/>
      <c r="C413" s="87" t="e">
        <v>#N/A</v>
      </c>
      <c r="D413" s="87" t="e">
        <v>#N/A</v>
      </c>
      <c r="E413" s="109"/>
      <c r="F413" s="97"/>
      <c r="G413" s="97"/>
      <c r="H413" s="89"/>
      <c r="I413" s="88"/>
      <c r="J413" s="88"/>
      <c r="K413" s="88"/>
      <c r="L413" s="88"/>
      <c r="M413" s="88"/>
      <c r="N413" s="88"/>
      <c r="O413" s="86"/>
      <c r="P413" s="86"/>
      <c r="Q413" s="14" t="e">
        <v>#N/A</v>
      </c>
      <c r="R413" s="14" t="e">
        <v>#N/A</v>
      </c>
      <c r="S413" s="14"/>
      <c r="T413" s="90"/>
      <c r="U413" s="14"/>
      <c r="V413" s="14"/>
      <c r="W413" s="87"/>
      <c r="X413" s="86"/>
      <c r="Y413" s="96">
        <f ca="1">Table24[[#This Row],[End Date]]+2-TODAY()</f>
        <v>-45816</v>
      </c>
      <c r="Z413" s="14">
        <f>IF(ISBLANK(Table24[[#This Row],[Roster Received By]]),1,0)</f>
        <v>1</v>
      </c>
      <c r="AA413" s="87">
        <f ca="1">IF(Table24[[#This Row],[Start Date]]&gt;TODAY(),1,)</f>
        <v>0</v>
      </c>
    </row>
    <row r="414" spans="1:27" s="52" customFormat="1" x14ac:dyDescent="0.25">
      <c r="B414" s="86"/>
      <c r="C414" s="87" t="e">
        <v>#N/A</v>
      </c>
      <c r="D414" s="87" t="e">
        <v>#N/A</v>
      </c>
      <c r="E414" s="109"/>
      <c r="F414" s="97"/>
      <c r="G414" s="97"/>
      <c r="H414" s="89"/>
      <c r="I414" s="88"/>
      <c r="J414" s="88"/>
      <c r="K414" s="88"/>
      <c r="L414" s="88"/>
      <c r="M414" s="88"/>
      <c r="N414" s="88"/>
      <c r="O414" s="86"/>
      <c r="P414" s="86"/>
      <c r="Q414" s="14" t="e">
        <v>#N/A</v>
      </c>
      <c r="R414" s="14" t="e">
        <v>#N/A</v>
      </c>
      <c r="S414" s="14"/>
      <c r="T414" s="90"/>
      <c r="U414" s="14"/>
      <c r="V414" s="14"/>
      <c r="W414" s="87"/>
      <c r="X414" s="86"/>
      <c r="Y414" s="96">
        <f ca="1">Table24[[#This Row],[End Date]]+2-TODAY()</f>
        <v>-45816</v>
      </c>
      <c r="Z414" s="14">
        <f>IF(ISBLANK(Table24[[#This Row],[Roster Received By]]),1,0)</f>
        <v>1</v>
      </c>
      <c r="AA414" s="87">
        <f ca="1">IF(Table24[[#This Row],[Start Date]]&gt;TODAY(),1,)</f>
        <v>0</v>
      </c>
    </row>
    <row r="415" spans="1:27" s="52" customFormat="1" x14ac:dyDescent="0.25">
      <c r="B415" s="86"/>
      <c r="C415" s="87" t="e">
        <v>#N/A</v>
      </c>
      <c r="D415" s="87" t="e">
        <v>#N/A</v>
      </c>
      <c r="E415" s="109"/>
      <c r="F415" s="89"/>
      <c r="G415" s="89"/>
      <c r="H415" s="89"/>
      <c r="I415" s="88"/>
      <c r="J415" s="88"/>
      <c r="K415" s="88"/>
      <c r="L415" s="88"/>
      <c r="M415" s="88"/>
      <c r="N415" s="88"/>
      <c r="O415" s="86"/>
      <c r="P415" s="86"/>
      <c r="Q415" s="14" t="e">
        <v>#N/A</v>
      </c>
      <c r="R415" s="14" t="e">
        <v>#N/A</v>
      </c>
      <c r="S415" s="14"/>
      <c r="T415" s="90"/>
      <c r="U415" s="14"/>
      <c r="V415" s="14"/>
      <c r="W415" s="87"/>
      <c r="X415" s="86"/>
      <c r="Y415" s="96">
        <f ca="1">Table24[[#This Row],[End Date]]+2-TODAY()</f>
        <v>-45816</v>
      </c>
      <c r="Z415" s="14">
        <f>IF(ISBLANK(Table24[[#This Row],[Roster Received By]]),1,0)</f>
        <v>1</v>
      </c>
      <c r="AA415" s="87">
        <f ca="1">IF(Table24[[#This Row],[Start Date]]&gt;TODAY(),1,)</f>
        <v>0</v>
      </c>
    </row>
    <row r="416" spans="1:27" s="52" customFormat="1" x14ac:dyDescent="0.25">
      <c r="B416" s="86"/>
      <c r="C416" s="87" t="e">
        <v>#N/A</v>
      </c>
      <c r="D416" s="87" t="e">
        <v>#N/A</v>
      </c>
      <c r="E416" s="109"/>
      <c r="F416" s="89"/>
      <c r="G416" s="89"/>
      <c r="H416" s="95"/>
      <c r="I416" s="95"/>
      <c r="J416" s="89"/>
      <c r="K416" s="89"/>
      <c r="L416" s="89"/>
      <c r="M416" s="89"/>
      <c r="N416" s="89"/>
      <c r="O416" s="86"/>
      <c r="P416" s="86"/>
      <c r="Q416" s="14" t="e">
        <v>#N/A</v>
      </c>
      <c r="R416" s="14" t="e">
        <v>#N/A</v>
      </c>
      <c r="S416" s="14"/>
      <c r="T416" s="90"/>
      <c r="U416" s="14"/>
      <c r="V416" s="14"/>
      <c r="W416" s="87"/>
      <c r="X416" s="86"/>
      <c r="Y416" s="96">
        <f ca="1">Table24[[#This Row],[End Date]]+2-TODAY()</f>
        <v>-45816</v>
      </c>
      <c r="Z416" s="14">
        <f>IF(ISBLANK(Table24[[#This Row],[Roster Received By]]),1,0)</f>
        <v>1</v>
      </c>
      <c r="AA416" s="87">
        <f ca="1">IF(Table24[[#This Row],[Start Date]]&gt;TODAY(),1,)</f>
        <v>0</v>
      </c>
    </row>
    <row r="417" spans="1:27" s="52" customFormat="1" x14ac:dyDescent="0.25">
      <c r="A417" s="86"/>
      <c r="B417" s="86"/>
      <c r="C417" s="87" t="e">
        <v>#N/A</v>
      </c>
      <c r="D417" s="87" t="e">
        <v>#N/A</v>
      </c>
      <c r="E417" s="109"/>
      <c r="F417" s="89"/>
      <c r="G417" s="89"/>
      <c r="H417" s="95"/>
      <c r="I417" s="95"/>
      <c r="J417" s="89"/>
      <c r="K417" s="89"/>
      <c r="L417" s="89"/>
      <c r="M417" s="89"/>
      <c r="N417" s="89"/>
      <c r="O417" s="86"/>
      <c r="P417" s="86"/>
      <c r="Q417" s="14" t="e">
        <v>#N/A</v>
      </c>
      <c r="R417" s="14" t="e">
        <v>#N/A</v>
      </c>
      <c r="S417" s="14"/>
      <c r="T417" s="90"/>
      <c r="U417" s="14"/>
      <c r="V417" s="14"/>
      <c r="W417" s="87"/>
      <c r="X417" s="86"/>
      <c r="Y417" s="96">
        <f ca="1">Table24[[#This Row],[End Date]]+2-TODAY()</f>
        <v>-45816</v>
      </c>
      <c r="Z417" s="14">
        <f>IF(ISBLANK(Table24[[#This Row],[Roster Received By]]),1,0)</f>
        <v>1</v>
      </c>
      <c r="AA417" s="87">
        <f ca="1">IF(Table24[[#This Row],[Start Date]]&gt;TODAY(),1,)</f>
        <v>0</v>
      </c>
    </row>
    <row r="418" spans="1:27" s="52" customFormat="1" x14ac:dyDescent="0.25">
      <c r="B418" s="86"/>
      <c r="C418" s="87" t="e">
        <v>#N/A</v>
      </c>
      <c r="D418" s="87" t="e">
        <v>#N/A</v>
      </c>
      <c r="E418" s="109"/>
      <c r="F418" s="89"/>
      <c r="G418" s="89"/>
      <c r="H418" s="89"/>
      <c r="I418" s="88"/>
      <c r="J418" s="88"/>
      <c r="K418" s="88"/>
      <c r="L418" s="88"/>
      <c r="M418" s="88"/>
      <c r="N418" s="88"/>
      <c r="O418" s="86"/>
      <c r="P418" s="86"/>
      <c r="Q418" s="14" t="e">
        <v>#N/A</v>
      </c>
      <c r="R418" s="14" t="e">
        <v>#N/A</v>
      </c>
      <c r="S418" s="14"/>
      <c r="T418" s="90"/>
      <c r="U418" s="14"/>
      <c r="V418" s="14"/>
      <c r="W418" s="87"/>
      <c r="X418" s="86"/>
      <c r="Y418" s="96">
        <f ca="1">Table24[[#This Row],[End Date]]+2-TODAY()</f>
        <v>-45816</v>
      </c>
      <c r="Z418" s="14">
        <f>IF(ISBLANK(Table24[[#This Row],[Roster Received By]]),1,0)</f>
        <v>1</v>
      </c>
      <c r="AA418" s="87">
        <f ca="1">IF(Table24[[#This Row],[Start Date]]&gt;TODAY(),1,)</f>
        <v>0</v>
      </c>
    </row>
    <row r="419" spans="1:27" s="52" customFormat="1" x14ac:dyDescent="0.25">
      <c r="B419" s="86"/>
      <c r="C419" s="87" t="e">
        <v>#N/A</v>
      </c>
      <c r="D419" s="87" t="e">
        <v>#N/A</v>
      </c>
      <c r="E419" s="86"/>
      <c r="F419" s="89"/>
      <c r="G419" s="89"/>
      <c r="H419" s="89"/>
      <c r="I419" s="88"/>
      <c r="J419" s="88"/>
      <c r="K419" s="88"/>
      <c r="L419" s="88"/>
      <c r="M419" s="88"/>
      <c r="N419" s="88"/>
      <c r="O419" s="86"/>
      <c r="P419" s="86"/>
      <c r="Q419" s="14" t="e">
        <v>#N/A</v>
      </c>
      <c r="R419" s="14" t="e">
        <v>#N/A</v>
      </c>
      <c r="S419" s="14"/>
      <c r="T419" s="90"/>
      <c r="U419" s="14"/>
      <c r="V419" s="14"/>
      <c r="W419" s="87"/>
      <c r="X419" s="86"/>
      <c r="Y419" s="96">
        <f ca="1">Table24[[#This Row],[End Date]]+2-TODAY()</f>
        <v>-45816</v>
      </c>
      <c r="Z419" s="14">
        <f>IF(ISBLANK(Table24[[#This Row],[Roster Received By]]),1,0)</f>
        <v>1</v>
      </c>
      <c r="AA419" s="87">
        <f ca="1">IF(Table24[[#This Row],[Start Date]]&gt;TODAY(),1,)</f>
        <v>0</v>
      </c>
    </row>
    <row r="420" spans="1:27" s="52" customFormat="1" x14ac:dyDescent="0.25">
      <c r="B420" s="86"/>
      <c r="C420" s="87" t="e">
        <v>#N/A</v>
      </c>
      <c r="D420" s="87" t="e">
        <v>#N/A</v>
      </c>
      <c r="E420" s="86"/>
      <c r="F420" s="89"/>
      <c r="G420" s="89"/>
      <c r="H420" s="92"/>
      <c r="I420" s="99"/>
      <c r="J420" s="99"/>
      <c r="K420" s="99"/>
      <c r="L420" s="99"/>
      <c r="M420" s="99"/>
      <c r="N420" s="99"/>
      <c r="O420" s="86"/>
      <c r="P420" s="86"/>
      <c r="Q420" s="14" t="e">
        <v>#N/A</v>
      </c>
      <c r="R420" s="14" t="e">
        <v>#N/A</v>
      </c>
      <c r="S420" s="90"/>
      <c r="T420" s="100"/>
      <c r="U420" s="100"/>
      <c r="V420" s="100"/>
      <c r="W420" s="100"/>
      <c r="X420" s="86"/>
      <c r="Y420" s="100"/>
    </row>
    <row r="421" spans="1:27" s="52" customFormat="1" x14ac:dyDescent="0.25">
      <c r="B421" s="86"/>
      <c r="C421" s="87" t="e">
        <v>#N/A</v>
      </c>
      <c r="D421" s="87" t="e">
        <v>#N/A</v>
      </c>
      <c r="E421" s="86"/>
      <c r="F421" s="89"/>
      <c r="G421" s="89"/>
      <c r="H421" s="92"/>
      <c r="I421" s="92"/>
      <c r="J421" s="89"/>
      <c r="K421" s="89"/>
      <c r="L421" s="89"/>
      <c r="M421" s="89"/>
      <c r="N421" s="89"/>
      <c r="O421" s="86"/>
      <c r="P421" s="86"/>
      <c r="Q421" s="14" t="e">
        <v>#N/A</v>
      </c>
      <c r="R421" s="14" t="e">
        <v>#N/A</v>
      </c>
      <c r="S421" s="90"/>
      <c r="T421" s="90"/>
      <c r="U421" s="14"/>
      <c r="V421" s="14"/>
      <c r="W421" s="87"/>
      <c r="X421" s="86"/>
      <c r="Y421" s="96">
        <f ca="1">Table24[[#This Row],[End Date]]+2-TODAY()</f>
        <v>-45816</v>
      </c>
      <c r="Z421" s="14">
        <f>IF(ISBLANK(Table24[[#This Row],[Roster Received By]]),1,0)</f>
        <v>1</v>
      </c>
      <c r="AA421" s="87">
        <f ca="1">IF(Table24[[#This Row],[Start Date]]&gt;TODAY(),1,)</f>
        <v>0</v>
      </c>
    </row>
    <row r="422" spans="1:27" s="52" customFormat="1" x14ac:dyDescent="0.25">
      <c r="B422" s="86"/>
      <c r="C422" s="87" t="e">
        <v>#N/A</v>
      </c>
      <c r="D422" s="87" t="e">
        <v>#N/A</v>
      </c>
      <c r="E422" s="54"/>
      <c r="F422" s="89"/>
      <c r="G422" s="89"/>
      <c r="H422" s="92"/>
      <c r="I422" s="92"/>
      <c r="J422" s="89"/>
      <c r="K422" s="89"/>
      <c r="L422" s="89"/>
      <c r="M422" s="89"/>
      <c r="N422" s="89"/>
      <c r="O422" s="86"/>
      <c r="P422" s="86"/>
      <c r="Q422" s="14" t="e">
        <v>#N/A</v>
      </c>
      <c r="R422" s="14" t="e">
        <v>#N/A</v>
      </c>
      <c r="S422" s="14"/>
      <c r="T422" s="90"/>
      <c r="U422" s="14"/>
      <c r="V422" s="14"/>
      <c r="W422" s="14"/>
      <c r="X422" s="86"/>
      <c r="Y422" s="59">
        <f ca="1">Table24[[#This Row],[End Date]]+2-TODAY()</f>
        <v>-45816</v>
      </c>
      <c r="Z422" s="14">
        <f>IF(ISBLANK(Table24[[#This Row],[Roster Received By]]),1,0)</f>
        <v>1</v>
      </c>
      <c r="AA422" s="14">
        <f ca="1">IF(Table24[[#This Row],[Start Date]]&gt;TODAY(),1,)</f>
        <v>0</v>
      </c>
    </row>
    <row r="423" spans="1:27" s="52" customFormat="1" x14ac:dyDescent="0.25">
      <c r="B423" s="86"/>
      <c r="C423" s="87" t="e">
        <v>#N/A</v>
      </c>
      <c r="D423" s="87" t="e">
        <v>#N/A</v>
      </c>
      <c r="E423" s="86"/>
      <c r="F423" s="89"/>
      <c r="G423" s="89"/>
      <c r="H423" s="92"/>
      <c r="I423" s="92"/>
      <c r="J423" s="89"/>
      <c r="K423" s="89"/>
      <c r="L423" s="89"/>
      <c r="M423" s="89"/>
      <c r="N423" s="89"/>
      <c r="O423" s="86"/>
      <c r="P423" s="86"/>
      <c r="Q423" s="14" t="e">
        <v>#N/A</v>
      </c>
      <c r="R423" s="14" t="e">
        <v>#N/A</v>
      </c>
      <c r="S423" s="14"/>
      <c r="T423" s="90"/>
      <c r="U423" s="14"/>
      <c r="V423" s="14"/>
      <c r="W423" s="87"/>
      <c r="X423" s="86"/>
      <c r="Y423" s="96">
        <f ca="1">Table24[[#This Row],[End Date]]+2-TODAY()</f>
        <v>-45816</v>
      </c>
      <c r="Z423" s="14">
        <f>IF(ISBLANK(Table24[[#This Row],[Roster Received By]]),1,0)</f>
        <v>1</v>
      </c>
      <c r="AA423" s="87">
        <f ca="1">IF(Table24[[#This Row],[Start Date]]&gt;TODAY(),1,)</f>
        <v>0</v>
      </c>
    </row>
    <row r="424" spans="1:27" s="52" customFormat="1" x14ac:dyDescent="0.25">
      <c r="B424" s="86"/>
      <c r="C424" s="87" t="e">
        <v>#N/A</v>
      </c>
      <c r="D424" s="87" t="e">
        <v>#N/A</v>
      </c>
      <c r="E424" s="54"/>
      <c r="F424" s="89"/>
      <c r="G424" s="89"/>
      <c r="H424" s="92"/>
      <c r="I424" s="92"/>
      <c r="J424" s="89"/>
      <c r="K424" s="89"/>
      <c r="L424" s="89"/>
      <c r="M424" s="89"/>
      <c r="N424" s="89"/>
      <c r="O424" s="86"/>
      <c r="P424" s="86"/>
      <c r="Q424" s="14" t="e">
        <v>#N/A</v>
      </c>
      <c r="R424" s="14" t="e">
        <v>#N/A</v>
      </c>
      <c r="S424" s="14"/>
      <c r="T424" s="90"/>
      <c r="U424" s="14"/>
      <c r="V424" s="14"/>
      <c r="W424" s="87"/>
      <c r="X424" s="86"/>
      <c r="Y424" s="96">
        <f ca="1">Table24[[#This Row],[End Date]]+2-TODAY()</f>
        <v>-45816</v>
      </c>
      <c r="Z424" s="14">
        <f>IF(ISBLANK(Table24[[#This Row],[Roster Received By]]),1,0)</f>
        <v>1</v>
      </c>
      <c r="AA424" s="87">
        <f ca="1">IF(Table24[[#This Row],[Start Date]]&gt;TODAY(),1,)</f>
        <v>0</v>
      </c>
    </row>
    <row r="425" spans="1:27" s="52" customFormat="1" x14ac:dyDescent="0.25">
      <c r="B425" s="86"/>
      <c r="C425" s="87" t="e">
        <v>#N/A</v>
      </c>
      <c r="D425" s="87" t="e">
        <v>#N/A</v>
      </c>
      <c r="E425" s="86"/>
      <c r="F425" s="89"/>
      <c r="G425" s="89"/>
      <c r="H425" s="92"/>
      <c r="I425" s="92"/>
      <c r="J425" s="89"/>
      <c r="K425" s="89"/>
      <c r="L425" s="89"/>
      <c r="M425" s="89"/>
      <c r="N425" s="89"/>
      <c r="O425" s="86"/>
      <c r="P425" s="86"/>
      <c r="Q425" s="14" t="e">
        <v>#N/A</v>
      </c>
      <c r="R425" s="14" t="e">
        <v>#N/A</v>
      </c>
      <c r="S425" s="14"/>
      <c r="T425" s="90"/>
      <c r="U425" s="14"/>
      <c r="V425" s="14"/>
      <c r="W425" s="14"/>
      <c r="X425" s="86"/>
      <c r="Y425" s="96">
        <f ca="1">Table24[[#This Row],[End Date]]+2-TODAY()</f>
        <v>-45816</v>
      </c>
      <c r="Z425" s="14">
        <f>IF(ISBLANK(Table24[[#This Row],[Roster Received By]]),1,0)</f>
        <v>1</v>
      </c>
      <c r="AA425" s="87">
        <f ca="1">IF(Table24[[#This Row],[Start Date]]&gt;TODAY(),1,)</f>
        <v>0</v>
      </c>
    </row>
    <row r="426" spans="1:27" s="52" customFormat="1" x14ac:dyDescent="0.25">
      <c r="A426" s="86"/>
      <c r="B426" s="86"/>
      <c r="C426" s="87" t="e">
        <v>#N/A</v>
      </c>
      <c r="D426" s="87" t="e">
        <v>#N/A</v>
      </c>
      <c r="E426" s="86"/>
      <c r="F426" s="89"/>
      <c r="G426" s="89"/>
      <c r="H426" s="92"/>
      <c r="I426" s="92"/>
      <c r="J426" s="89"/>
      <c r="K426" s="89"/>
      <c r="L426" s="89"/>
      <c r="M426" s="89"/>
      <c r="N426" s="89"/>
      <c r="O426" s="86"/>
      <c r="P426" s="86"/>
      <c r="Q426" s="14" t="e">
        <v>#N/A</v>
      </c>
      <c r="R426" s="14" t="e">
        <v>#N/A</v>
      </c>
      <c r="S426" s="14"/>
      <c r="T426" s="90"/>
      <c r="U426" s="14"/>
      <c r="V426" s="14"/>
      <c r="W426" s="87"/>
      <c r="X426" s="86"/>
      <c r="Y426" s="96">
        <f ca="1">Table24[[#This Row],[End Date]]+2-TODAY()</f>
        <v>-45816</v>
      </c>
      <c r="Z426" s="14">
        <f>IF(ISBLANK(Table24[[#This Row],[Roster Received By]]),1,0)</f>
        <v>1</v>
      </c>
      <c r="AA426" s="87">
        <f ca="1">IF(Table24[[#This Row],[Start Date]]&gt;TODAY(),1,)</f>
        <v>0</v>
      </c>
    </row>
    <row r="427" spans="1:27" s="52" customFormat="1" x14ac:dyDescent="0.25">
      <c r="B427" s="86"/>
      <c r="C427" s="87" t="e">
        <v>#N/A</v>
      </c>
      <c r="D427" s="87" t="e">
        <v>#N/A</v>
      </c>
      <c r="E427" s="86"/>
      <c r="F427" s="89"/>
      <c r="G427" s="89"/>
      <c r="H427" s="92"/>
      <c r="I427" s="92"/>
      <c r="J427" s="89"/>
      <c r="K427" s="89"/>
      <c r="L427" s="89"/>
      <c r="M427" s="89"/>
      <c r="N427" s="89"/>
      <c r="O427" s="86"/>
      <c r="P427" s="86"/>
      <c r="Q427" s="14" t="e">
        <v>#N/A</v>
      </c>
      <c r="R427" s="14" t="e">
        <v>#N/A</v>
      </c>
      <c r="S427" s="14"/>
      <c r="T427" s="90"/>
      <c r="U427" s="14"/>
      <c r="V427" s="14"/>
      <c r="W427" s="87"/>
      <c r="X427" s="86"/>
      <c r="Y427" s="96">
        <f ca="1">Table24[[#This Row],[End Date]]+2-TODAY()</f>
        <v>-45816</v>
      </c>
      <c r="Z427" s="14">
        <f>IF(ISBLANK(Table24[[#This Row],[Roster Received By]]),1,0)</f>
        <v>1</v>
      </c>
      <c r="AA427" s="87">
        <f ca="1">IF(Table24[[#This Row],[Start Date]]&gt;TODAY(),1,)</f>
        <v>0</v>
      </c>
    </row>
    <row r="428" spans="1:27" s="52" customFormat="1" x14ac:dyDescent="0.25">
      <c r="B428" s="86"/>
      <c r="C428" s="87" t="e">
        <v>#N/A</v>
      </c>
      <c r="D428" s="87" t="e">
        <v>#N/A</v>
      </c>
      <c r="E428" s="86"/>
      <c r="F428" s="89"/>
      <c r="G428" s="89"/>
      <c r="H428" s="92"/>
      <c r="I428" s="92"/>
      <c r="J428" s="89"/>
      <c r="K428" s="89"/>
      <c r="L428" s="89"/>
      <c r="M428" s="89"/>
      <c r="N428" s="89"/>
      <c r="O428" s="86"/>
      <c r="P428" s="86"/>
      <c r="Q428" s="14" t="e">
        <v>#N/A</v>
      </c>
      <c r="R428" s="14" t="e">
        <v>#N/A</v>
      </c>
      <c r="S428" s="90"/>
      <c r="T428" s="90"/>
      <c r="U428" s="14"/>
      <c r="V428" s="14"/>
      <c r="W428" s="14"/>
      <c r="X428" s="86"/>
      <c r="Y428" s="59">
        <f ca="1">Table24[[#This Row],[End Date]]+2-TODAY()</f>
        <v>-45816</v>
      </c>
      <c r="Z428" s="14">
        <f>IF(ISBLANK(Table24[[#This Row],[Roster Received By]]),1,0)</f>
        <v>1</v>
      </c>
      <c r="AA428" s="14">
        <f ca="1">IF(Table24[[#This Row],[Start Date]]&gt;TODAY(),1,)</f>
        <v>0</v>
      </c>
    </row>
    <row r="429" spans="1:27" s="52" customFormat="1" x14ac:dyDescent="0.25">
      <c r="B429" s="86"/>
      <c r="C429" s="87" t="e">
        <v>#N/A</v>
      </c>
      <c r="D429" s="87" t="e">
        <v>#N/A</v>
      </c>
      <c r="E429" s="54"/>
      <c r="F429" s="89"/>
      <c r="G429" s="89"/>
      <c r="H429" s="92"/>
      <c r="I429" s="92"/>
      <c r="J429" s="89"/>
      <c r="K429" s="89"/>
      <c r="L429" s="89"/>
      <c r="M429" s="89"/>
      <c r="N429" s="89"/>
      <c r="O429" s="86"/>
      <c r="P429" s="86"/>
      <c r="Q429" s="14" t="e">
        <v>#N/A</v>
      </c>
      <c r="R429" s="14" t="e">
        <v>#N/A</v>
      </c>
      <c r="S429" s="14"/>
      <c r="T429" s="90"/>
      <c r="U429" s="14"/>
      <c r="V429" s="14"/>
      <c r="W429" s="87"/>
      <c r="X429" s="86"/>
      <c r="Y429" s="96">
        <f ca="1">Table24[[#This Row],[End Date]]+2-TODAY()</f>
        <v>-45816</v>
      </c>
      <c r="Z429" s="14">
        <f>IF(ISBLANK(Table24[[#This Row],[Roster Received By]]),1,0)</f>
        <v>1</v>
      </c>
      <c r="AA429" s="87">
        <f ca="1">IF(Table24[[#This Row],[Start Date]]&gt;TODAY(),1,)</f>
        <v>0</v>
      </c>
    </row>
    <row r="430" spans="1:27" s="52" customFormat="1" x14ac:dyDescent="0.25">
      <c r="B430" s="86"/>
      <c r="C430" s="87" t="e">
        <v>#N/A</v>
      </c>
      <c r="D430" s="87" t="e">
        <v>#N/A</v>
      </c>
      <c r="E430" s="86"/>
      <c r="F430" s="89"/>
      <c r="G430" s="89"/>
      <c r="H430" s="89"/>
      <c r="I430" s="88"/>
      <c r="J430" s="88"/>
      <c r="K430" s="88"/>
      <c r="L430" s="88"/>
      <c r="M430" s="88"/>
      <c r="N430" s="88"/>
      <c r="O430" s="86"/>
      <c r="P430" s="86"/>
      <c r="Q430" s="14" t="e">
        <v>#N/A</v>
      </c>
      <c r="R430" s="14" t="e">
        <v>#N/A</v>
      </c>
      <c r="S430" s="14"/>
      <c r="T430" s="90"/>
      <c r="U430" s="14"/>
      <c r="V430" s="14"/>
      <c r="W430" s="87"/>
      <c r="X430" s="86"/>
      <c r="Y430" s="96">
        <f ca="1">Table24[[#This Row],[End Date]]+2-TODAY()</f>
        <v>-45816</v>
      </c>
      <c r="Z430" s="14">
        <f>IF(ISBLANK(Table24[[#This Row],[Roster Received By]]),1,0)</f>
        <v>1</v>
      </c>
      <c r="AA430" s="87">
        <f ca="1">IF(Table24[[#This Row],[Start Date]]&gt;TODAY(),1,)</f>
        <v>0</v>
      </c>
    </row>
    <row r="431" spans="1:27" s="52" customFormat="1" x14ac:dyDescent="0.25">
      <c r="A431" s="86"/>
      <c r="B431" s="86"/>
      <c r="C431" s="87" t="e">
        <v>#N/A</v>
      </c>
      <c r="D431" s="87" t="e">
        <v>#N/A</v>
      </c>
      <c r="E431" s="86"/>
      <c r="F431" s="89"/>
      <c r="G431" s="89"/>
      <c r="H431" s="92"/>
      <c r="I431" s="92"/>
      <c r="J431" s="89"/>
      <c r="K431" s="89"/>
      <c r="L431" s="89"/>
      <c r="M431" s="89"/>
      <c r="N431" s="89"/>
      <c r="O431" s="86"/>
      <c r="P431" s="86"/>
      <c r="Q431" s="14" t="e">
        <v>#N/A</v>
      </c>
      <c r="R431" s="14" t="e">
        <v>#N/A</v>
      </c>
      <c r="S431" s="14"/>
      <c r="T431" s="90"/>
      <c r="U431" s="14"/>
      <c r="V431" s="14"/>
      <c r="W431" s="87"/>
      <c r="X431" s="86"/>
      <c r="Y431" s="96">
        <f ca="1">Table24[[#This Row],[End Date]]+2-TODAY()</f>
        <v>-45816</v>
      </c>
      <c r="Z431" s="14">
        <f>IF(ISBLANK(Table24[[#This Row],[Roster Received By]]),1,0)</f>
        <v>1</v>
      </c>
      <c r="AA431" s="87">
        <f ca="1">IF(Table24[[#This Row],[Start Date]]&gt;TODAY(),1,)</f>
        <v>0</v>
      </c>
    </row>
    <row r="432" spans="1:27" s="52" customFormat="1" x14ac:dyDescent="0.25">
      <c r="A432" s="86"/>
      <c r="B432" s="86"/>
      <c r="C432" s="87" t="e">
        <v>#N/A</v>
      </c>
      <c r="D432" s="87" t="e">
        <v>#N/A</v>
      </c>
      <c r="E432" s="54"/>
      <c r="F432" s="89"/>
      <c r="G432" s="89"/>
      <c r="H432" s="92"/>
      <c r="I432" s="92"/>
      <c r="J432" s="89"/>
      <c r="K432" s="89"/>
      <c r="L432" s="89"/>
      <c r="M432" s="89"/>
      <c r="N432" s="89"/>
      <c r="O432" s="86"/>
      <c r="P432" s="86"/>
      <c r="Q432" s="14" t="e">
        <v>#N/A</v>
      </c>
      <c r="R432" s="14" t="e">
        <v>#N/A</v>
      </c>
      <c r="S432" s="14"/>
      <c r="T432" s="90"/>
      <c r="U432" s="14"/>
      <c r="V432" s="14"/>
      <c r="W432" s="87"/>
      <c r="X432" s="86"/>
      <c r="Y432" s="96">
        <f ca="1">Table24[[#This Row],[End Date]]+2-TODAY()</f>
        <v>-45816</v>
      </c>
      <c r="Z432" s="14">
        <f>IF(ISBLANK(Table24[[#This Row],[Roster Received By]]),1,0)</f>
        <v>1</v>
      </c>
      <c r="AA432" s="87">
        <f ca="1">IF(Table24[[#This Row],[Start Date]]&gt;TODAY(),1,)</f>
        <v>0</v>
      </c>
    </row>
    <row r="433" spans="1:27" s="52" customFormat="1" x14ac:dyDescent="0.25">
      <c r="B433" s="86"/>
      <c r="C433" s="87" t="e">
        <v>#N/A</v>
      </c>
      <c r="D433" s="87" t="e">
        <v>#N/A</v>
      </c>
      <c r="E433" s="86"/>
      <c r="F433" s="89"/>
      <c r="G433" s="89"/>
      <c r="H433" s="89"/>
      <c r="I433" s="88"/>
      <c r="J433" s="88"/>
      <c r="K433" s="88"/>
      <c r="L433" s="88"/>
      <c r="M433" s="88"/>
      <c r="N433" s="88"/>
      <c r="O433" s="86"/>
      <c r="P433" s="86"/>
      <c r="Q433" s="14" t="e">
        <v>#N/A</v>
      </c>
      <c r="R433" s="14" t="e">
        <v>#N/A</v>
      </c>
      <c r="S433" s="14"/>
      <c r="T433" s="90"/>
      <c r="U433" s="14"/>
      <c r="V433" s="14"/>
      <c r="W433" s="87"/>
      <c r="X433" s="86"/>
      <c r="Y433" s="96">
        <f ca="1">Table24[[#This Row],[End Date]]+2-TODAY()</f>
        <v>-45816</v>
      </c>
      <c r="Z433" s="14">
        <f>IF(ISBLANK(Table24[[#This Row],[Roster Received By]]),1,0)</f>
        <v>1</v>
      </c>
      <c r="AA433" s="87">
        <f ca="1">IF(Table24[[#This Row],[Start Date]]&gt;TODAY(),1,)</f>
        <v>0</v>
      </c>
    </row>
    <row r="434" spans="1:27" s="52" customFormat="1" x14ac:dyDescent="0.25">
      <c r="B434" s="86"/>
      <c r="C434" s="87" t="e">
        <v>#N/A</v>
      </c>
      <c r="D434" s="87" t="e">
        <v>#N/A</v>
      </c>
      <c r="E434" s="54"/>
      <c r="F434" s="89"/>
      <c r="G434" s="89"/>
      <c r="H434" s="92"/>
      <c r="I434" s="92"/>
      <c r="J434" s="89"/>
      <c r="K434" s="89"/>
      <c r="L434" s="89"/>
      <c r="M434" s="89"/>
      <c r="N434" s="89"/>
      <c r="O434" s="86"/>
      <c r="P434" s="86"/>
      <c r="Q434" s="14" t="e">
        <v>#N/A</v>
      </c>
      <c r="R434" s="14" t="e">
        <v>#N/A</v>
      </c>
      <c r="S434" s="14"/>
      <c r="T434" s="90"/>
      <c r="U434" s="14"/>
      <c r="V434" s="14"/>
      <c r="W434" s="87"/>
      <c r="X434" s="86"/>
      <c r="Y434" s="96">
        <f ca="1">Table24[[#This Row],[End Date]]+2-TODAY()</f>
        <v>-45816</v>
      </c>
      <c r="Z434" s="14">
        <f>IF(ISBLANK(Table24[[#This Row],[Roster Received By]]),1,0)</f>
        <v>1</v>
      </c>
      <c r="AA434" s="87">
        <f ca="1">IF(Table24[[#This Row],[Start Date]]&gt;TODAY(),1,)</f>
        <v>0</v>
      </c>
    </row>
    <row r="435" spans="1:27" s="52" customFormat="1" x14ac:dyDescent="0.25">
      <c r="B435" s="86"/>
      <c r="C435" s="87" t="e">
        <v>#N/A</v>
      </c>
      <c r="D435" s="87" t="e">
        <v>#N/A</v>
      </c>
      <c r="E435" s="54"/>
      <c r="F435" s="89"/>
      <c r="G435" s="89"/>
      <c r="H435" s="92"/>
      <c r="I435" s="92"/>
      <c r="J435" s="89"/>
      <c r="K435" s="89"/>
      <c r="L435" s="89"/>
      <c r="M435" s="89"/>
      <c r="N435" s="89"/>
      <c r="O435" s="86"/>
      <c r="P435" s="86"/>
      <c r="Q435" s="14" t="e">
        <v>#N/A</v>
      </c>
      <c r="R435" s="14" t="e">
        <v>#N/A</v>
      </c>
      <c r="S435" s="14"/>
      <c r="T435" s="90"/>
      <c r="U435" s="14"/>
      <c r="V435" s="14"/>
      <c r="W435" s="14"/>
      <c r="X435" s="86"/>
      <c r="Y435" s="59">
        <f ca="1">Table24[[#This Row],[End Date]]+2-TODAY()</f>
        <v>-45816</v>
      </c>
      <c r="Z435" s="14">
        <f>IF(ISBLANK(Table24[[#This Row],[Roster Received By]]),1,0)</f>
        <v>1</v>
      </c>
      <c r="AA435" s="14">
        <f ca="1">IF(Table24[[#This Row],[Start Date]]&gt;TODAY(),1,)</f>
        <v>0</v>
      </c>
    </row>
    <row r="436" spans="1:27" s="52" customFormat="1" x14ac:dyDescent="0.25">
      <c r="B436" s="86"/>
      <c r="C436" s="87" t="e">
        <v>#N/A</v>
      </c>
      <c r="D436" s="87" t="e">
        <v>#N/A</v>
      </c>
      <c r="E436" s="86"/>
      <c r="F436" s="89"/>
      <c r="G436" s="89"/>
      <c r="H436" s="92"/>
      <c r="I436" s="92"/>
      <c r="J436" s="89"/>
      <c r="K436" s="89"/>
      <c r="L436" s="89"/>
      <c r="M436" s="89"/>
      <c r="N436" s="89"/>
      <c r="O436" s="86"/>
      <c r="P436" s="86"/>
      <c r="Q436" s="14" t="e">
        <v>#N/A</v>
      </c>
      <c r="R436" s="14" t="e">
        <v>#N/A</v>
      </c>
      <c r="S436" s="14"/>
      <c r="T436" s="90"/>
      <c r="U436" s="14"/>
      <c r="V436" s="14"/>
      <c r="W436" s="14"/>
      <c r="X436" s="86"/>
      <c r="Y436" s="59">
        <f ca="1">Table24[[#This Row],[End Date]]+2-TODAY()</f>
        <v>-45816</v>
      </c>
      <c r="Z436" s="14">
        <f>IF(ISBLANK(Table24[[#This Row],[Roster Received By]]),1,0)</f>
        <v>1</v>
      </c>
      <c r="AA436" s="14">
        <f ca="1">IF(Table24[[#This Row],[Start Date]]&gt;TODAY(),1,)</f>
        <v>0</v>
      </c>
    </row>
    <row r="437" spans="1:27" s="52" customFormat="1" x14ac:dyDescent="0.25">
      <c r="B437" s="86"/>
      <c r="C437" s="87" t="e">
        <v>#N/A</v>
      </c>
      <c r="D437" s="87" t="e">
        <v>#N/A</v>
      </c>
      <c r="E437" s="86"/>
      <c r="F437" s="89"/>
      <c r="G437" s="89"/>
      <c r="H437" s="92"/>
      <c r="I437" s="92"/>
      <c r="J437" s="89"/>
      <c r="K437" s="89"/>
      <c r="L437" s="89"/>
      <c r="M437" s="89"/>
      <c r="N437" s="89"/>
      <c r="O437" s="86"/>
      <c r="P437" s="86"/>
      <c r="Q437" s="14" t="e">
        <v>#N/A</v>
      </c>
      <c r="R437" s="14" t="e">
        <v>#N/A</v>
      </c>
      <c r="S437" s="90"/>
      <c r="T437" s="90"/>
      <c r="U437" s="14"/>
      <c r="V437" s="14"/>
      <c r="W437" s="87"/>
      <c r="X437" s="86"/>
      <c r="Y437" s="96">
        <f ca="1">Table24[[#This Row],[End Date]]+2-TODAY()</f>
        <v>-45816</v>
      </c>
      <c r="Z437" s="14">
        <f>IF(ISBLANK(Table24[[#This Row],[Roster Received By]]),1,0)</f>
        <v>1</v>
      </c>
      <c r="AA437" s="87">
        <f ca="1">IF(Table24[[#This Row],[Start Date]]&gt;TODAY(),1,)</f>
        <v>0</v>
      </c>
    </row>
    <row r="438" spans="1:27" s="52" customFormat="1" x14ac:dyDescent="0.25">
      <c r="B438" s="103"/>
      <c r="C438" s="87" t="e">
        <v>#N/A</v>
      </c>
      <c r="D438" s="87" t="e">
        <v>#N/A</v>
      </c>
      <c r="E438" s="86"/>
      <c r="F438" s="56"/>
      <c r="G438" s="89"/>
      <c r="H438" s="89"/>
      <c r="I438" s="88"/>
      <c r="J438" s="88"/>
      <c r="K438" s="88"/>
      <c r="L438" s="88"/>
      <c r="M438" s="88"/>
      <c r="N438" s="88"/>
      <c r="O438" s="86"/>
      <c r="P438" s="86"/>
      <c r="Q438" s="14" t="e">
        <v>#N/A</v>
      </c>
      <c r="R438" s="14" t="e">
        <v>#N/A</v>
      </c>
      <c r="S438" s="14"/>
      <c r="T438" s="90"/>
      <c r="U438" s="14"/>
      <c r="V438" s="14"/>
      <c r="W438" s="87"/>
      <c r="X438" s="86"/>
      <c r="Y438" s="96">
        <f ca="1">Table24[[#This Row],[End Date]]+2-TODAY()</f>
        <v>-45816</v>
      </c>
      <c r="Z438" s="14">
        <f>IF(ISBLANK(Table24[[#This Row],[Roster Received By]]),1,0)</f>
        <v>1</v>
      </c>
      <c r="AA438" s="87">
        <f ca="1">IF(Table24[[#This Row],[Start Date]]&gt;TODAY(),1,)</f>
        <v>0</v>
      </c>
    </row>
    <row r="439" spans="1:27" s="52" customFormat="1" x14ac:dyDescent="0.25">
      <c r="A439" s="86"/>
      <c r="B439" s="103"/>
      <c r="C439" s="87" t="e">
        <v>#N/A</v>
      </c>
      <c r="D439" s="87" t="e">
        <v>#N/A</v>
      </c>
      <c r="E439" s="86"/>
      <c r="F439" s="89"/>
      <c r="G439" s="89"/>
      <c r="H439" s="92"/>
      <c r="I439" s="92"/>
      <c r="J439" s="89"/>
      <c r="K439" s="89"/>
      <c r="L439" s="89"/>
      <c r="M439" s="89"/>
      <c r="N439" s="89"/>
      <c r="O439" s="86"/>
      <c r="P439" s="86"/>
      <c r="Q439" s="14" t="e">
        <v>#N/A</v>
      </c>
      <c r="R439" s="14" t="e">
        <v>#N/A</v>
      </c>
      <c r="S439" s="14"/>
      <c r="T439" s="90"/>
      <c r="U439" s="14"/>
      <c r="V439" s="14"/>
      <c r="W439" s="87"/>
      <c r="X439" s="86"/>
      <c r="Y439" s="96">
        <f ca="1">Table24[[#This Row],[End Date]]+2-TODAY()</f>
        <v>-45816</v>
      </c>
      <c r="Z439" s="14">
        <f>IF(ISBLANK(Table24[[#This Row],[Roster Received By]]),1,0)</f>
        <v>1</v>
      </c>
      <c r="AA439" s="87">
        <f ca="1">IF(Table24[[#This Row],[Start Date]]&gt;TODAY(),1,)</f>
        <v>0</v>
      </c>
    </row>
    <row r="440" spans="1:27" s="52" customFormat="1" x14ac:dyDescent="0.25">
      <c r="B440" s="103"/>
      <c r="C440" s="87" t="e">
        <v>#N/A</v>
      </c>
      <c r="D440" s="87" t="e">
        <v>#N/A</v>
      </c>
      <c r="E440" s="86"/>
      <c r="F440" s="89"/>
      <c r="G440" s="89"/>
      <c r="H440" s="92"/>
      <c r="I440" s="92"/>
      <c r="J440" s="89"/>
      <c r="K440" s="89"/>
      <c r="L440" s="89"/>
      <c r="M440" s="89"/>
      <c r="N440" s="89"/>
      <c r="O440" s="86"/>
      <c r="P440" s="86"/>
      <c r="Q440" s="14" t="e">
        <v>#N/A</v>
      </c>
      <c r="R440" s="14" t="e">
        <v>#N/A</v>
      </c>
      <c r="S440" s="90"/>
      <c r="T440" s="90"/>
      <c r="U440" s="14"/>
      <c r="V440" s="14"/>
      <c r="W440" s="87"/>
      <c r="X440" s="86"/>
      <c r="Y440" s="96">
        <f ca="1">Table24[[#This Row],[End Date]]+2-TODAY()</f>
        <v>-45816</v>
      </c>
      <c r="Z440" s="14">
        <f>IF(ISBLANK(Table24[[#This Row],[Roster Received By]]),1,0)</f>
        <v>1</v>
      </c>
      <c r="AA440" s="87">
        <f ca="1">IF(Table24[[#This Row],[Start Date]]&gt;TODAY(),1,)</f>
        <v>0</v>
      </c>
    </row>
    <row r="441" spans="1:27" s="52" customFormat="1" x14ac:dyDescent="0.25">
      <c r="B441" s="86"/>
      <c r="C441" s="87" t="e">
        <v>#N/A</v>
      </c>
      <c r="D441" s="87" t="e">
        <v>#N/A</v>
      </c>
      <c r="E441" s="86"/>
      <c r="F441" s="89"/>
      <c r="G441" s="89"/>
      <c r="H441" s="89"/>
      <c r="I441" s="88"/>
      <c r="J441" s="88"/>
      <c r="K441" s="88"/>
      <c r="L441" s="88"/>
      <c r="M441" s="88"/>
      <c r="N441" s="88"/>
      <c r="O441" s="86"/>
      <c r="P441" s="86"/>
      <c r="Q441" s="14" t="e">
        <v>#N/A</v>
      </c>
      <c r="R441" s="14" t="e">
        <v>#N/A</v>
      </c>
      <c r="S441" s="14"/>
      <c r="T441" s="90"/>
      <c r="U441" s="14"/>
      <c r="V441" s="14"/>
      <c r="W441" s="87"/>
      <c r="X441" s="86"/>
      <c r="Y441" s="96">
        <f ca="1">Table24[[#This Row],[End Date]]+2-TODAY()</f>
        <v>-45816</v>
      </c>
      <c r="Z441" s="14">
        <f>IF(ISBLANK(Table24[[#This Row],[Roster Received By]]),1,0)</f>
        <v>1</v>
      </c>
      <c r="AA441" s="87">
        <f ca="1">IF(Table24[[#This Row],[Start Date]]&gt;TODAY(),1,)</f>
        <v>0</v>
      </c>
    </row>
    <row r="442" spans="1:27" s="52" customFormat="1" x14ac:dyDescent="0.25">
      <c r="B442" s="103"/>
      <c r="C442" s="87" t="e">
        <v>#N/A</v>
      </c>
      <c r="D442" s="87" t="e">
        <v>#N/A</v>
      </c>
      <c r="E442" s="86"/>
      <c r="F442" s="89"/>
      <c r="G442" s="89"/>
      <c r="H442" s="89"/>
      <c r="I442" s="88"/>
      <c r="J442" s="88"/>
      <c r="K442" s="88"/>
      <c r="L442" s="88"/>
      <c r="M442" s="88"/>
      <c r="N442" s="88"/>
      <c r="O442" s="86"/>
      <c r="P442" s="86"/>
      <c r="Q442" s="14" t="e">
        <v>#N/A</v>
      </c>
      <c r="R442" s="14" t="e">
        <v>#N/A</v>
      </c>
      <c r="S442" s="14"/>
      <c r="T442" s="90"/>
      <c r="U442" s="14"/>
      <c r="V442" s="14"/>
      <c r="W442" s="87"/>
      <c r="X442" s="86"/>
      <c r="Y442" s="96">
        <f ca="1">Table24[[#This Row],[End Date]]+2-TODAY()</f>
        <v>-45816</v>
      </c>
      <c r="Z442" s="14">
        <f>IF(ISBLANK(Table24[[#This Row],[Roster Received By]]),1,0)</f>
        <v>1</v>
      </c>
      <c r="AA442" s="87">
        <f ca="1">IF(Table24[[#This Row],[Start Date]]&gt;TODAY(),1,)</f>
        <v>0</v>
      </c>
    </row>
    <row r="443" spans="1:27" s="52" customFormat="1" x14ac:dyDescent="0.25">
      <c r="B443" s="86"/>
      <c r="C443" s="87" t="e">
        <v>#N/A</v>
      </c>
      <c r="D443" s="87" t="e">
        <v>#N/A</v>
      </c>
      <c r="E443" s="86"/>
      <c r="F443" s="89"/>
      <c r="G443" s="89"/>
      <c r="H443" s="92"/>
      <c r="I443" s="92"/>
      <c r="J443" s="89"/>
      <c r="K443" s="89"/>
      <c r="L443" s="89"/>
      <c r="M443" s="89"/>
      <c r="N443" s="89"/>
      <c r="O443" s="86"/>
      <c r="P443" s="86"/>
      <c r="Q443" s="14" t="e">
        <v>#N/A</v>
      </c>
      <c r="R443" s="14" t="e">
        <v>#N/A</v>
      </c>
      <c r="S443" s="14"/>
      <c r="T443" s="90"/>
      <c r="U443" s="14"/>
      <c r="V443" s="14"/>
      <c r="W443" s="14"/>
      <c r="X443" s="86"/>
      <c r="Y443" s="59">
        <f ca="1">Table24[[#This Row],[End Date]]+2-TODAY()</f>
        <v>-45816</v>
      </c>
      <c r="Z443" s="14">
        <f>IF(ISBLANK(Table24[[#This Row],[Roster Received By]]),1,0)</f>
        <v>1</v>
      </c>
      <c r="AA443" s="14">
        <f ca="1">IF(Table24[[#This Row],[Start Date]]&gt;TODAY(),1,)</f>
        <v>0</v>
      </c>
    </row>
    <row r="444" spans="1:27" s="52" customFormat="1" x14ac:dyDescent="0.25">
      <c r="A444" s="86"/>
      <c r="B444" s="103"/>
      <c r="C444" s="87" t="e">
        <v>#N/A</v>
      </c>
      <c r="D444" s="87" t="e">
        <v>#N/A</v>
      </c>
      <c r="E444" s="86"/>
      <c r="F444" s="56"/>
      <c r="G444" s="56"/>
      <c r="H444" s="56"/>
      <c r="I444" s="88"/>
      <c r="J444" s="88"/>
      <c r="K444" s="88"/>
      <c r="L444" s="88"/>
      <c r="M444" s="88"/>
      <c r="N444" s="88"/>
      <c r="O444" s="86"/>
      <c r="P444" s="86"/>
      <c r="Q444" s="14" t="e">
        <v>#N/A</v>
      </c>
      <c r="R444" s="14" t="e">
        <v>#N/A</v>
      </c>
      <c r="S444" s="14"/>
      <c r="T444" s="90"/>
      <c r="U444" s="14"/>
      <c r="V444" s="14"/>
      <c r="W444" s="87"/>
      <c r="X444" s="86"/>
      <c r="Y444" s="96">
        <f ca="1">Table24[[#This Row],[End Date]]+2-TODAY()</f>
        <v>-45816</v>
      </c>
      <c r="Z444" s="14">
        <f>IF(ISBLANK(Table24[[#This Row],[Roster Received By]]),1,0)</f>
        <v>1</v>
      </c>
      <c r="AA444" s="87">
        <f ca="1">IF(Table24[[#This Row],[Start Date]]&gt;TODAY(),1,)</f>
        <v>0</v>
      </c>
    </row>
    <row r="445" spans="1:27" s="52" customFormat="1" x14ac:dyDescent="0.25">
      <c r="B445" s="86"/>
      <c r="C445" s="87" t="e">
        <v>#N/A</v>
      </c>
      <c r="D445" s="87" t="e">
        <v>#N/A</v>
      </c>
      <c r="E445" s="86"/>
      <c r="F445" s="89"/>
      <c r="G445" s="89"/>
      <c r="H445" s="89"/>
      <c r="I445" s="88"/>
      <c r="J445" s="88"/>
      <c r="K445" s="88"/>
      <c r="L445" s="88"/>
      <c r="M445" s="88"/>
      <c r="N445" s="88"/>
      <c r="O445" s="86"/>
      <c r="P445" s="86"/>
      <c r="Q445" s="14" t="e">
        <v>#N/A</v>
      </c>
      <c r="R445" s="14" t="e">
        <v>#N/A</v>
      </c>
      <c r="S445" s="14"/>
      <c r="T445" s="90"/>
      <c r="U445" s="14"/>
      <c r="V445" s="14"/>
      <c r="W445" s="87"/>
      <c r="X445" s="86"/>
      <c r="Y445" s="96">
        <f ca="1">Table24[[#This Row],[End Date]]+2-TODAY()</f>
        <v>-45816</v>
      </c>
      <c r="Z445" s="14">
        <f>IF(ISBLANK(Table24[[#This Row],[Roster Received By]]),1,0)</f>
        <v>1</v>
      </c>
      <c r="AA445" s="87">
        <f ca="1">IF(Table24[[#This Row],[Start Date]]&gt;TODAY(),1,)</f>
        <v>0</v>
      </c>
    </row>
    <row r="446" spans="1:27" s="52" customFormat="1" x14ac:dyDescent="0.25">
      <c r="B446" s="86"/>
      <c r="C446" s="87" t="e">
        <v>#N/A</v>
      </c>
      <c r="D446" s="87" t="e">
        <v>#N/A</v>
      </c>
      <c r="E446" s="86"/>
      <c r="F446" s="89"/>
      <c r="G446" s="89"/>
      <c r="H446" s="89"/>
      <c r="I446" s="88"/>
      <c r="J446" s="88"/>
      <c r="K446" s="88"/>
      <c r="L446" s="88"/>
      <c r="M446" s="88"/>
      <c r="N446" s="88"/>
      <c r="O446" s="86"/>
      <c r="P446" s="86"/>
      <c r="Q446" s="14" t="e">
        <v>#N/A</v>
      </c>
      <c r="R446" s="14" t="e">
        <v>#N/A</v>
      </c>
      <c r="S446" s="14"/>
      <c r="T446" s="90"/>
      <c r="U446" s="14"/>
      <c r="V446" s="14"/>
      <c r="W446" s="87"/>
      <c r="X446" s="86"/>
      <c r="Y446" s="96">
        <f ca="1">Table24[[#This Row],[End Date]]+2-TODAY()</f>
        <v>-45816</v>
      </c>
      <c r="Z446" s="14">
        <f>IF(ISBLANK(Table24[[#This Row],[Roster Received By]]),1,0)</f>
        <v>1</v>
      </c>
      <c r="AA446" s="87">
        <f ca="1">IF(Table24[[#This Row],[Start Date]]&gt;TODAY(),1,)</f>
        <v>0</v>
      </c>
    </row>
    <row r="447" spans="1:27" s="52" customFormat="1" x14ac:dyDescent="0.25">
      <c r="B447" s="86"/>
      <c r="C447" s="87" t="e">
        <v>#N/A</v>
      </c>
      <c r="D447" s="87" t="e">
        <v>#N/A</v>
      </c>
      <c r="E447" s="86"/>
      <c r="F447" s="89"/>
      <c r="G447" s="89"/>
      <c r="H447" s="89"/>
      <c r="I447" s="88"/>
      <c r="J447" s="88"/>
      <c r="K447" s="88"/>
      <c r="L447" s="88"/>
      <c r="M447" s="88"/>
      <c r="N447" s="88"/>
      <c r="O447" s="86"/>
      <c r="P447" s="86"/>
      <c r="Q447" s="14" t="e">
        <v>#N/A</v>
      </c>
      <c r="R447" s="14" t="e">
        <v>#N/A</v>
      </c>
      <c r="S447" s="14"/>
      <c r="T447" s="90"/>
      <c r="U447" s="14"/>
      <c r="V447" s="14"/>
      <c r="W447" s="87"/>
      <c r="X447" s="86"/>
      <c r="Y447" s="96">
        <f ca="1">Table24[[#This Row],[End Date]]+2-TODAY()</f>
        <v>-45816</v>
      </c>
      <c r="Z447" s="14">
        <f>IF(ISBLANK(Table24[[#This Row],[Roster Received By]]),1,0)</f>
        <v>1</v>
      </c>
      <c r="AA447" s="87">
        <f ca="1">IF(Table24[[#This Row],[Start Date]]&gt;TODAY(),1,)</f>
        <v>0</v>
      </c>
    </row>
    <row r="448" spans="1:27" s="52" customFormat="1" x14ac:dyDescent="0.25">
      <c r="A448" s="129"/>
      <c r="B448" s="86"/>
      <c r="C448" s="87" t="e">
        <v>#N/A</v>
      </c>
      <c r="D448" s="87" t="e">
        <v>#N/A</v>
      </c>
      <c r="E448" s="86"/>
      <c r="F448" s="89"/>
      <c r="G448" s="89"/>
      <c r="H448" s="92"/>
      <c r="I448" s="92"/>
      <c r="J448" s="89"/>
      <c r="K448" s="89"/>
      <c r="L448" s="89"/>
      <c r="M448" s="89"/>
      <c r="N448" s="89"/>
      <c r="O448" s="86"/>
      <c r="P448" s="86"/>
      <c r="Q448" s="14" t="e">
        <v>#N/A</v>
      </c>
      <c r="R448" s="14" t="e">
        <v>#N/A</v>
      </c>
      <c r="S448" s="90"/>
      <c r="T448" s="90"/>
      <c r="U448" s="14"/>
      <c r="V448" s="14"/>
      <c r="W448" s="87"/>
      <c r="X448" s="86"/>
      <c r="Y448" s="96">
        <f ca="1">Table24[[#This Row],[End Date]]+2-TODAY()</f>
        <v>-45816</v>
      </c>
      <c r="Z448" s="14">
        <f>IF(ISBLANK(Table24[[#This Row],[Roster Received By]]),1,0)</f>
        <v>1</v>
      </c>
      <c r="AA448" s="87">
        <f ca="1">IF(Table24[[#This Row],[Start Date]]&gt;TODAY(),1,)</f>
        <v>0</v>
      </c>
    </row>
    <row r="449" spans="1:27" s="52" customFormat="1" x14ac:dyDescent="0.25">
      <c r="B449" s="86"/>
      <c r="C449" s="87" t="e">
        <v>#N/A</v>
      </c>
      <c r="D449" s="87" t="e">
        <v>#N/A</v>
      </c>
      <c r="E449" s="86"/>
      <c r="F449" s="89"/>
      <c r="G449" s="89"/>
      <c r="H449" s="89"/>
      <c r="I449" s="88"/>
      <c r="J449" s="88"/>
      <c r="K449" s="88"/>
      <c r="L449" s="88"/>
      <c r="M449" s="88"/>
      <c r="N449" s="88"/>
      <c r="O449" s="86"/>
      <c r="P449" s="86"/>
      <c r="Q449" s="14" t="e">
        <v>#N/A</v>
      </c>
      <c r="R449" s="14" t="e">
        <v>#N/A</v>
      </c>
      <c r="S449" s="14"/>
      <c r="T449" s="90"/>
      <c r="U449" s="14"/>
      <c r="V449" s="14"/>
      <c r="W449" s="87"/>
      <c r="X449" s="86"/>
      <c r="Y449" s="96">
        <f ca="1">Table24[[#This Row],[End Date]]+2-TODAY()</f>
        <v>-45816</v>
      </c>
      <c r="Z449" s="14">
        <f>IF(ISBLANK(Table24[[#This Row],[Roster Received By]]),1,0)</f>
        <v>1</v>
      </c>
      <c r="AA449" s="87">
        <f ca="1">IF(Table24[[#This Row],[Start Date]]&gt;TODAY(),1,)</f>
        <v>0</v>
      </c>
    </row>
    <row r="450" spans="1:27" s="52" customFormat="1" x14ac:dyDescent="0.25">
      <c r="A450" s="86"/>
      <c r="B450" s="86"/>
      <c r="C450" s="87" t="e">
        <v>#N/A</v>
      </c>
      <c r="D450" s="87" t="e">
        <v>#N/A</v>
      </c>
      <c r="E450" s="86"/>
      <c r="F450" s="89"/>
      <c r="G450" s="89"/>
      <c r="H450" s="89"/>
      <c r="I450" s="88"/>
      <c r="J450" s="88"/>
      <c r="K450" s="88"/>
      <c r="L450" s="88"/>
      <c r="M450" s="88"/>
      <c r="N450" s="88"/>
      <c r="O450" s="86"/>
      <c r="P450" s="86"/>
      <c r="Q450" s="14" t="e">
        <v>#N/A</v>
      </c>
      <c r="R450" s="14" t="e">
        <v>#N/A</v>
      </c>
      <c r="S450" s="14"/>
      <c r="T450" s="90"/>
      <c r="U450" s="14"/>
      <c r="V450" s="14"/>
      <c r="W450" s="87"/>
      <c r="X450" s="86"/>
      <c r="Y450" s="96">
        <f ca="1">Table24[[#This Row],[End Date]]+2-TODAY()</f>
        <v>-45816</v>
      </c>
      <c r="Z450" s="14">
        <f>IF(ISBLANK(Table24[[#This Row],[Roster Received By]]),1,0)</f>
        <v>1</v>
      </c>
      <c r="AA450" s="87">
        <f ca="1">IF(Table24[[#This Row],[Start Date]]&gt;TODAY(),1,)</f>
        <v>0</v>
      </c>
    </row>
    <row r="451" spans="1:27" s="52" customFormat="1" x14ac:dyDescent="0.25">
      <c r="B451" s="86"/>
      <c r="C451" s="87" t="e">
        <v>#N/A</v>
      </c>
      <c r="D451" s="87" t="e">
        <v>#N/A</v>
      </c>
      <c r="E451" s="86"/>
      <c r="F451" s="89"/>
      <c r="G451" s="89"/>
      <c r="H451" s="92"/>
      <c r="I451" s="92"/>
      <c r="J451" s="89"/>
      <c r="K451" s="89"/>
      <c r="L451" s="89"/>
      <c r="M451" s="89"/>
      <c r="N451" s="89"/>
      <c r="O451" s="86"/>
      <c r="P451" s="86"/>
      <c r="Q451" s="14" t="e">
        <v>#N/A</v>
      </c>
      <c r="R451" s="14" t="e">
        <v>#N/A</v>
      </c>
      <c r="S451" s="90"/>
      <c r="T451" s="90"/>
      <c r="U451" s="14"/>
      <c r="V451" s="14"/>
      <c r="W451" s="87"/>
      <c r="X451" s="86"/>
      <c r="Y451" s="96">
        <f ca="1">Table24[[#This Row],[End Date]]+2-TODAY()</f>
        <v>-45816</v>
      </c>
      <c r="Z451" s="14">
        <f>IF(ISBLANK(Table24[[#This Row],[Roster Received By]]),1,0)</f>
        <v>1</v>
      </c>
      <c r="AA451" s="87">
        <f ca="1">IF(Table24[[#This Row],[Start Date]]&gt;TODAY(),1,)</f>
        <v>0</v>
      </c>
    </row>
    <row r="452" spans="1:27" s="52" customFormat="1" x14ac:dyDescent="0.25">
      <c r="B452" s="86"/>
      <c r="C452" s="87" t="e">
        <v>#N/A</v>
      </c>
      <c r="D452" s="87" t="e">
        <v>#N/A</v>
      </c>
      <c r="E452" s="86"/>
      <c r="F452" s="89"/>
      <c r="G452" s="89"/>
      <c r="H452" s="92"/>
      <c r="I452" s="92"/>
      <c r="J452" s="89"/>
      <c r="K452" s="89"/>
      <c r="L452" s="89"/>
      <c r="M452" s="89"/>
      <c r="N452" s="89"/>
      <c r="O452" s="86"/>
      <c r="P452" s="86"/>
      <c r="Q452" s="14" t="e">
        <v>#N/A</v>
      </c>
      <c r="R452" s="14" t="e">
        <v>#N/A</v>
      </c>
      <c r="S452" s="14"/>
      <c r="T452" s="90"/>
      <c r="U452" s="14"/>
      <c r="V452" s="14"/>
      <c r="W452" s="87"/>
      <c r="X452" s="86"/>
      <c r="Y452" s="96">
        <f ca="1">Table24[[#This Row],[End Date]]+2-TODAY()</f>
        <v>-45816</v>
      </c>
      <c r="Z452" s="14">
        <f>IF(ISBLANK(Table24[[#This Row],[Roster Received By]]),1,0)</f>
        <v>1</v>
      </c>
      <c r="AA452" s="87">
        <f ca="1">IF(Table24[[#This Row],[Start Date]]&gt;TODAY(),1,)</f>
        <v>0</v>
      </c>
    </row>
    <row r="453" spans="1:27" s="52" customFormat="1" x14ac:dyDescent="0.25">
      <c r="B453" s="86"/>
      <c r="C453" s="87" t="e">
        <v>#N/A</v>
      </c>
      <c r="D453" s="87" t="e">
        <v>#N/A</v>
      </c>
      <c r="E453" s="86"/>
      <c r="F453" s="89"/>
      <c r="G453" s="89"/>
      <c r="H453" s="92"/>
      <c r="I453" s="92"/>
      <c r="J453" s="89"/>
      <c r="K453" s="89"/>
      <c r="L453" s="89"/>
      <c r="M453" s="89"/>
      <c r="N453" s="89"/>
      <c r="O453" s="86"/>
      <c r="P453" s="86"/>
      <c r="Q453" s="14" t="e">
        <v>#N/A</v>
      </c>
      <c r="R453" s="14" t="e">
        <v>#N/A</v>
      </c>
      <c r="S453" s="90"/>
      <c r="T453" s="90"/>
      <c r="U453" s="14"/>
      <c r="V453" s="14"/>
      <c r="W453" s="87"/>
      <c r="X453" s="86"/>
      <c r="Y453" s="96">
        <f ca="1">Table24[[#This Row],[End Date]]+2-TODAY()</f>
        <v>-45816</v>
      </c>
      <c r="Z453" s="14">
        <f>IF(ISBLANK(Table24[[#This Row],[Roster Received By]]),1,0)</f>
        <v>1</v>
      </c>
      <c r="AA453" s="87">
        <f ca="1">IF(Table24[[#This Row],[Start Date]]&gt;TODAY(),1,)</f>
        <v>0</v>
      </c>
    </row>
    <row r="454" spans="1:27" s="52" customFormat="1" x14ac:dyDescent="0.25">
      <c r="B454" s="86"/>
      <c r="C454" s="87" t="e">
        <v>#N/A</v>
      </c>
      <c r="D454" s="87" t="e">
        <v>#N/A</v>
      </c>
      <c r="E454" s="86"/>
      <c r="F454" s="89"/>
      <c r="G454" s="89"/>
      <c r="H454" s="92"/>
      <c r="I454" s="92"/>
      <c r="J454" s="89"/>
      <c r="K454" s="89"/>
      <c r="L454" s="89"/>
      <c r="M454" s="89"/>
      <c r="N454" s="89"/>
      <c r="O454" s="86"/>
      <c r="P454" s="86"/>
      <c r="Q454" s="14" t="e">
        <v>#N/A</v>
      </c>
      <c r="R454" s="14" t="e">
        <v>#N/A</v>
      </c>
      <c r="S454" s="14"/>
      <c r="T454" s="90"/>
      <c r="U454" s="14"/>
      <c r="V454" s="14"/>
      <c r="W454" s="14"/>
      <c r="X454" s="86"/>
      <c r="Y454" s="59">
        <f ca="1">Table24[[#This Row],[End Date]]+2-TODAY()</f>
        <v>-45816</v>
      </c>
      <c r="Z454" s="14">
        <f>IF(ISBLANK(Table24[[#This Row],[Roster Received By]]),1,0)</f>
        <v>1</v>
      </c>
      <c r="AA454" s="14">
        <f ca="1">IF(Table24[[#This Row],[Start Date]]&gt;TODAY(),1,)</f>
        <v>0</v>
      </c>
    </row>
    <row r="455" spans="1:27" s="52" customFormat="1" x14ac:dyDescent="0.25">
      <c r="B455" s="86"/>
      <c r="C455" s="87" t="e">
        <v>#N/A</v>
      </c>
      <c r="D455" s="87" t="e">
        <v>#N/A</v>
      </c>
      <c r="E455" s="86"/>
      <c r="F455" s="89"/>
      <c r="G455" s="89"/>
      <c r="H455" s="92"/>
      <c r="I455" s="92"/>
      <c r="J455" s="89"/>
      <c r="K455" s="89"/>
      <c r="L455" s="89"/>
      <c r="M455" s="89"/>
      <c r="N455" s="89"/>
      <c r="O455" s="86"/>
      <c r="P455" s="86"/>
      <c r="Q455" s="14" t="e">
        <v>#N/A</v>
      </c>
      <c r="R455" s="14" t="e">
        <v>#N/A</v>
      </c>
      <c r="S455" s="14"/>
      <c r="T455" s="90"/>
      <c r="U455" s="14"/>
      <c r="V455" s="14"/>
      <c r="W455" s="87"/>
      <c r="X455" s="86"/>
      <c r="Y455" s="96">
        <f ca="1">Table24[[#This Row],[End Date]]+2-TODAY()</f>
        <v>-45816</v>
      </c>
      <c r="Z455" s="14">
        <f>IF(ISBLANK(Table24[[#This Row],[Roster Received By]]),1,0)</f>
        <v>1</v>
      </c>
      <c r="AA455" s="87">
        <f ca="1">IF(Table24[[#This Row],[Start Date]]&gt;TODAY(),1,)</f>
        <v>0</v>
      </c>
    </row>
    <row r="456" spans="1:27" s="52" customFormat="1" x14ac:dyDescent="0.25">
      <c r="B456" s="86"/>
      <c r="C456" s="87" t="e">
        <v>#N/A</v>
      </c>
      <c r="D456" s="87" t="e">
        <v>#N/A</v>
      </c>
      <c r="E456" s="54"/>
      <c r="F456" s="89"/>
      <c r="G456" s="89"/>
      <c r="H456" s="92"/>
      <c r="I456" s="92"/>
      <c r="J456" s="89"/>
      <c r="K456" s="89"/>
      <c r="L456" s="89"/>
      <c r="M456" s="89"/>
      <c r="N456" s="89"/>
      <c r="O456" s="86"/>
      <c r="P456" s="86"/>
      <c r="Q456" s="14" t="e">
        <v>#N/A</v>
      </c>
      <c r="R456" s="14" t="e">
        <v>#N/A</v>
      </c>
      <c r="S456" s="14"/>
      <c r="T456" s="90"/>
      <c r="U456" s="14"/>
      <c r="V456" s="14"/>
      <c r="W456" s="87"/>
      <c r="X456" s="86"/>
      <c r="Y456" s="96">
        <f ca="1">Table24[[#This Row],[End Date]]+2-TODAY()</f>
        <v>-45816</v>
      </c>
      <c r="Z456" s="14">
        <f>IF(ISBLANK(Table24[[#This Row],[Roster Received By]]),1,0)</f>
        <v>1</v>
      </c>
      <c r="AA456" s="87">
        <f ca="1">IF(Table24[[#This Row],[Start Date]]&gt;TODAY(),1,)</f>
        <v>0</v>
      </c>
    </row>
    <row r="457" spans="1:27" s="52" customFormat="1" x14ac:dyDescent="0.25">
      <c r="B457" s="86"/>
      <c r="C457" s="87" t="e">
        <v>#N/A</v>
      </c>
      <c r="D457" s="87" t="e">
        <v>#N/A</v>
      </c>
      <c r="E457" s="86"/>
      <c r="F457" s="89"/>
      <c r="G457" s="89"/>
      <c r="H457" s="92"/>
      <c r="I457" s="92"/>
      <c r="J457" s="89"/>
      <c r="K457" s="89"/>
      <c r="L457" s="89"/>
      <c r="M457" s="89"/>
      <c r="N457" s="89"/>
      <c r="O457" s="86"/>
      <c r="P457" s="86"/>
      <c r="Q457" s="14" t="e">
        <v>#N/A</v>
      </c>
      <c r="R457" s="14" t="e">
        <v>#N/A</v>
      </c>
      <c r="S457" s="90"/>
      <c r="T457" s="90"/>
      <c r="U457" s="14"/>
      <c r="V457" s="14"/>
      <c r="W457" s="87"/>
      <c r="X457" s="86"/>
      <c r="Y457" s="96">
        <f ca="1">Table24[[#This Row],[End Date]]+2-TODAY()</f>
        <v>-45816</v>
      </c>
      <c r="Z457" s="14">
        <f>IF(ISBLANK(Table24[[#This Row],[Roster Received By]]),1,0)</f>
        <v>1</v>
      </c>
      <c r="AA457" s="87">
        <f ca="1">IF(Table24[[#This Row],[Start Date]]&gt;TODAY(),1,)</f>
        <v>0</v>
      </c>
    </row>
    <row r="458" spans="1:27" s="52" customFormat="1" ht="15.75" thickBot="1" x14ac:dyDescent="0.3">
      <c r="A458" s="130"/>
      <c r="B458" s="130"/>
      <c r="C458" s="131" t="e">
        <v>#N/A</v>
      </c>
      <c r="D458" s="131" t="e">
        <v>#N/A</v>
      </c>
      <c r="E458" s="86"/>
      <c r="F458" s="89"/>
      <c r="G458" s="89"/>
      <c r="H458" s="92"/>
      <c r="I458" s="92"/>
      <c r="J458" s="132"/>
      <c r="K458" s="132"/>
      <c r="L458" s="132"/>
      <c r="M458" s="132"/>
      <c r="N458" s="132"/>
      <c r="O458" s="86"/>
      <c r="P458" s="86"/>
      <c r="Q458" s="14" t="e">
        <v>#N/A</v>
      </c>
      <c r="R458" s="14" t="e">
        <v>#N/A</v>
      </c>
      <c r="S458" s="133"/>
      <c r="T458" s="90"/>
      <c r="U458" s="14"/>
      <c r="V458" s="14"/>
      <c r="W458" s="14"/>
      <c r="X458" s="86"/>
      <c r="Y458" s="59">
        <f ca="1">Table24[[#This Row],[End Date]]+2-TODAY()</f>
        <v>-45816</v>
      </c>
      <c r="Z458" s="14">
        <f>IF(ISBLANK(Table24[[#This Row],[Roster Received By]]),1,0)</f>
        <v>1</v>
      </c>
      <c r="AA458" s="14">
        <f ca="1">IF(Table24[[#This Row],[Start Date]]&gt;TODAY(),1,)</f>
        <v>0</v>
      </c>
    </row>
    <row r="459" spans="1:27" ht="15.75" thickTop="1" x14ac:dyDescent="0.25">
      <c r="A459" s="156" t="s">
        <v>62</v>
      </c>
      <c r="B459" s="156">
        <f>SUBTOTAL(103,Table24[Course Title])</f>
        <v>161</v>
      </c>
      <c r="C459" s="156"/>
      <c r="D459" s="156"/>
      <c r="E459" s="156"/>
      <c r="F459" s="157"/>
      <c r="G459" s="157"/>
      <c r="H459" s="156"/>
      <c r="I459" s="156"/>
      <c r="J459" s="156"/>
      <c r="K459" s="156"/>
      <c r="L459" s="156"/>
      <c r="M459" s="156"/>
      <c r="N459" s="156"/>
      <c r="O459" s="156"/>
      <c r="P459" s="156"/>
      <c r="Q459" s="158" t="e">
        <f>SUBTOTAL(109,Q4:Q458)</f>
        <v>#N/A</v>
      </c>
      <c r="R459" s="158" t="e">
        <f>SUBTOTAL(109,Table24[Course Length (Days)])</f>
        <v>#N/A</v>
      </c>
      <c r="S459" s="158">
        <f>SUBTOTAL(109,S4:S458)</f>
        <v>0</v>
      </c>
      <c r="T459" s="158">
        <f>SUBTOTAL(109,T4:T458)</f>
        <v>0</v>
      </c>
      <c r="U459" s="158">
        <f>SUBTOTAL(109,U4:U458)</f>
        <v>0</v>
      </c>
      <c r="V459" s="158">
        <f>SUBTOTAL(109,V4:V458)</f>
        <v>0</v>
      </c>
      <c r="W459" s="158">
        <f>SUBTOTAL(109,W4:W458)</f>
        <v>0</v>
      </c>
      <c r="X459" s="156">
        <f>SUBTOTAL(103,Table24[Roster Received By])</f>
        <v>0</v>
      </c>
      <c r="Y459" s="159"/>
      <c r="Z459" s="156"/>
      <c r="AA459" s="156"/>
    </row>
  </sheetData>
  <protectedRanges>
    <protectedRange algorithmName="SHA-512" hashValue="n6K25g9uzAcpntxjqTQaPVdKX1eij75CLB1gBuUNBybVL5B3VaxVW/Tcen54TXijIel0fCN9KO3xZiLZCJMSZw==" saltValue="89UdTK4UUElaUoKBccfOYw==" spinCount="100000" sqref="C3:D3" name="CIN CDP"/>
    <protectedRange algorithmName="SHA-512" hashValue="n6K25g9uzAcpntxjqTQaPVdKX1eij75CLB1gBuUNBybVL5B3VaxVW/Tcen54TXijIel0fCN9KO3xZiLZCJMSZw==" saltValue="89UdTK4UUElaUoKBccfOYw==" spinCount="100000" sqref="C183:D458 C107:D181 C4:D101" name="CIN CDP_1"/>
    <protectedRange algorithmName="SHA-512" hashValue="n6K25g9uzAcpntxjqTQaPVdKX1eij75CLB1gBuUNBybVL5B3VaxVW/Tcen54TXijIel0fCN9KO3xZiLZCJMSZw==" saltValue="89UdTK4UUElaUoKBccfOYw==" spinCount="100000" sqref="C102:D103" name="CIN CDP_1_1"/>
    <protectedRange algorithmName="SHA-512" hashValue="n6K25g9uzAcpntxjqTQaPVdKX1eij75CLB1gBuUNBybVL5B3VaxVW/Tcen54TXijIel0fCN9KO3xZiLZCJMSZw==" saltValue="89UdTK4UUElaUoKBccfOYw==" spinCount="100000" sqref="C104:D105" name="CIN CDP_2"/>
    <protectedRange algorithmName="SHA-512" hashValue="n6K25g9uzAcpntxjqTQaPVdKX1eij75CLB1gBuUNBybVL5B3VaxVW/Tcen54TXijIel0fCN9KO3xZiLZCJMSZw==" saltValue="89UdTK4UUElaUoKBccfOYw==" spinCount="100000" sqref="C106:D106" name="CIN CDP_3"/>
    <protectedRange algorithmName="SHA-512" hashValue="n6K25g9uzAcpntxjqTQaPVdKX1eij75CLB1gBuUNBybVL5B3VaxVW/Tcen54TXijIel0fCN9KO3xZiLZCJMSZw==" saltValue="89UdTK4UUElaUoKBccfOYw==" spinCount="100000" sqref="C182:D182" name="CIN CDP_1_1_2"/>
  </protectedRanges>
  <conditionalFormatting sqref="A19:A42 J24:N30 F27:G30 E31:G31 F32:G32 E33:G34 F35:G35 F36:H36 J37:N37 F37:F38 E39:F39 J39:N39 E40:H40 E43 E44:F48 A44:A55 F49:F52 E53:F53 E54 A57:A59 J63:N63 A64 A79:A85 A96 E107:G107 E108:E116 A110 A120 A130:A134 A143:A145 J147:N147 A147:A153 I149:N149 J152:N152 A155:A171 B155:B172 J158:N162 J165:N165 E167:E168 J167:N168 E170:E172 A173:B173 J174:N174 B174:B181 E174:E181 A175:A176 J176:N177 A178 J180:N181 J183:N186 E183:E190 B183:B191 A185:A189 F186:G186 F188:H190 E192:E198 A192:B200 E200 B201:B202 A201:A214 B208 A216:A230 B217:B219 B222 B226 A232:A236 J236:N236 A240 A248 A269 A280 A287 E288:E295 E297:E310 F299:H299 F301:H301 E312:E315 A315 A328 A371 E381:E386 E388:E393 M394:N394 E395:E397 E399:E403 A411 E412:E419 A417 A422">
    <cfRule type="expression" dxfId="1358" priority="297">
      <formula>$T19="McQueen, Jennifer"</formula>
    </cfRule>
    <cfRule type="expression" dxfId="1357" priority="296">
      <formula>$T19="Jenne, Richard"</formula>
    </cfRule>
    <cfRule type="expression" dxfId="1356" priority="295">
      <formula>$T19="Benzick, Sue"</formula>
    </cfRule>
  </conditionalFormatting>
  <conditionalFormatting sqref="A136:A141 E150:E153">
    <cfRule type="expression" dxfId="1355" priority="119">
      <formula>$T136="Jenne, Richard"</formula>
    </cfRule>
    <cfRule type="expression" dxfId="1354" priority="120">
      <formula>$T136="McQueen, Jennifer"</formula>
    </cfRule>
    <cfRule type="expression" dxfId="1353" priority="118">
      <formula>$T136="Benzick, Sue"</formula>
    </cfRule>
  </conditionalFormatting>
  <conditionalFormatting sqref="A182:B182">
    <cfRule type="expression" dxfId="1352" priority="138">
      <formula>$T182="McQueen, Jennifer"</formula>
    </cfRule>
    <cfRule type="expression" dxfId="1351" priority="137">
      <formula>$T182="Jenne, Richard"</formula>
    </cfRule>
    <cfRule type="expression" dxfId="1350" priority="136">
      <formula>$T182="Benzick, Sue"</formula>
    </cfRule>
  </conditionalFormatting>
  <conditionalFormatting sqref="E117:G117 E118:E126 E199:G199 H219:I219 H220 H221:I226 I234 H235:I236 H239:I245 H255:I256 H258:I258 H274:I274 H275 H276:I280 H288:I288">
    <cfRule type="expression" dxfId="1349" priority="270">
      <formula>#REF!="McQueen, Jennifer"</formula>
    </cfRule>
    <cfRule type="expression" dxfId="1348" priority="269">
      <formula>#REF!="Jenne, Richard"</formula>
    </cfRule>
    <cfRule type="expression" dxfId="1347" priority="268">
      <formula>#REF!="Benzick, Sue"</formula>
    </cfRule>
  </conditionalFormatting>
  <conditionalFormatting sqref="E213:G217">
    <cfRule type="expression" dxfId="1346" priority="247">
      <formula>#REF!="Benzick, Sue"</formula>
    </cfRule>
    <cfRule type="expression" dxfId="1345" priority="248">
      <formula>#REF!="Jenne, Richard"</formula>
    </cfRule>
    <cfRule type="expression" dxfId="1344" priority="249">
      <formula>#REF!="McQueen, Jennifer"</formula>
    </cfRule>
  </conditionalFormatting>
  <conditionalFormatting sqref="E445:G445 E458:G458">
    <cfRule type="expression" dxfId="1343" priority="237">
      <formula>#REF!="McQueen, Jennifer"</formula>
    </cfRule>
    <cfRule type="expression" dxfId="1342" priority="235">
      <formula>#REF!="Benzick, Sue"</formula>
    </cfRule>
    <cfRule type="expression" dxfId="1341" priority="236">
      <formula>#REF!="Jenne, Richard"</formula>
    </cfRule>
  </conditionalFormatting>
  <conditionalFormatting sqref="E200:H200 E201:G205 F206:G206 E207:G207 E208:I210 E211:H211 H229:I233 H247:I248 H250:I250 H263:I264 H269:I269 H271:I272 H282:I282 H287:N287">
    <cfRule type="expression" dxfId="1340" priority="253">
      <formula>#REF!="Benzick, Sue"</formula>
    </cfRule>
    <cfRule type="expression" dxfId="1339" priority="254">
      <formula>#REF!="Jenne, Richard"</formula>
    </cfRule>
    <cfRule type="expression" dxfId="1338" priority="255">
      <formula>#REF!="McQueen, Jennifer"</formula>
    </cfRule>
  </conditionalFormatting>
  <conditionalFormatting sqref="E218:H218">
    <cfRule type="expression" dxfId="1337" priority="250">
      <formula>#REF!="Benzick, Sue"</formula>
    </cfRule>
    <cfRule type="expression" dxfId="1336" priority="251">
      <formula>#REF!="Jenne, Richard"</formula>
    </cfRule>
    <cfRule type="expression" dxfId="1335" priority="252">
      <formula>#REF!="McQueen, Jennifer"</formula>
    </cfRule>
  </conditionalFormatting>
  <conditionalFormatting sqref="F98">
    <cfRule type="expression" dxfId="1334" priority="97">
      <formula>$R98="Benzick, Sue"</formula>
    </cfRule>
    <cfRule type="expression" dxfId="1333" priority="99">
      <formula>$R98="McQueen, Jennifer"</formula>
    </cfRule>
    <cfRule type="expression" dxfId="1332" priority="98">
      <formula>$R98="Jenne, Richard"</formula>
    </cfRule>
  </conditionalFormatting>
  <conditionalFormatting sqref="F100">
    <cfRule type="expression" dxfId="1331" priority="80">
      <formula>$R100="Jenne, Richard"</formula>
    </cfRule>
    <cfRule type="expression" dxfId="1330" priority="79">
      <formula>$R100="Benzick, Sue"</formula>
    </cfRule>
    <cfRule type="expression" dxfId="1329" priority="81">
      <formula>$R100="McQueen, Jennifer"</formula>
    </cfRule>
  </conditionalFormatting>
  <conditionalFormatting sqref="F129">
    <cfRule type="expression" dxfId="1328" priority="95">
      <formula>$R129="Jenne, Richard"</formula>
    </cfRule>
    <cfRule type="expression" dxfId="1327" priority="96">
      <formula>$R129="McQueen, Jennifer"</formula>
    </cfRule>
    <cfRule type="expression" dxfId="1326" priority="94">
      <formula>$R129="Benzick, Sue"</formula>
    </cfRule>
  </conditionalFormatting>
  <conditionalFormatting sqref="F155 F164">
    <cfRule type="expression" dxfId="1325" priority="231">
      <formula>$S157="McQueen, Jennifer"</formula>
    </cfRule>
    <cfRule type="expression" dxfId="1324" priority="230">
      <formula>$S157="Jenne, Richard"</formula>
    </cfRule>
    <cfRule type="expression" dxfId="1323" priority="229">
      <formula>$S157="Benzick, Sue"</formula>
    </cfRule>
  </conditionalFormatting>
  <conditionalFormatting sqref="F159:F160 F163">
    <cfRule type="expression" dxfId="1322" priority="233">
      <formula>$S160="Jenne, Richard"</formula>
    </cfRule>
    <cfRule type="expression" dxfId="1321" priority="232">
      <formula>$S160="Benzick, Sue"</formula>
    </cfRule>
    <cfRule type="expression" dxfId="1320" priority="234">
      <formula>$S160="McQueen, Jennifer"</formula>
    </cfRule>
  </conditionalFormatting>
  <conditionalFormatting sqref="F162">
    <cfRule type="expression" dxfId="1319" priority="225">
      <formula>#REF!="McQueen, Jennifer"</formula>
    </cfRule>
    <cfRule type="expression" dxfId="1318" priority="224">
      <formula>#REF!="Jenne, Richard"</formula>
    </cfRule>
    <cfRule type="expression" dxfId="1317" priority="223">
      <formula>#REF!="Benzick, Sue"</formula>
    </cfRule>
  </conditionalFormatting>
  <conditionalFormatting sqref="F166">
    <cfRule type="expression" dxfId="1316" priority="221">
      <formula>$S170="Jenne, Richard"</formula>
    </cfRule>
    <cfRule type="expression" dxfId="1315" priority="220">
      <formula>$S170="Benzick, Sue"</formula>
    </cfRule>
    <cfRule type="expression" dxfId="1314" priority="222">
      <formula>$S170="McQueen, Jennifer"</formula>
    </cfRule>
  </conditionalFormatting>
  <conditionalFormatting sqref="F193 F195">
    <cfRule type="expression" dxfId="1313" priority="289">
      <formula>$T194="Benzick, Sue"</formula>
    </cfRule>
    <cfRule type="expression" dxfId="1312" priority="291">
      <formula>$T194="McQueen, Jennifer"</formula>
    </cfRule>
    <cfRule type="expression" dxfId="1311" priority="290">
      <formula>$T194="Jenne, Richard"</formula>
    </cfRule>
  </conditionalFormatting>
  <conditionalFormatting sqref="F194">
    <cfRule type="expression" dxfId="1310" priority="312">
      <formula>#REF!="McQueen, Jennifer"</formula>
    </cfRule>
    <cfRule type="expression" dxfId="1309" priority="310">
      <formula>#REF!="Benzick, Sue"</formula>
    </cfRule>
    <cfRule type="expression" dxfId="1308" priority="311">
      <formula>#REF!="Jenne, Richard"</formula>
    </cfRule>
  </conditionalFormatting>
  <conditionalFormatting sqref="F302">
    <cfRule type="expression" dxfId="1307" priority="307">
      <formula>#REF!="Benzick, Sue"</formula>
    </cfRule>
    <cfRule type="expression" dxfId="1306" priority="308">
      <formula>#REF!="Jenne, Richard"</formula>
    </cfRule>
    <cfRule type="expression" dxfId="1305" priority="309">
      <formula>#REF!="McQueen, Jennifer"</formula>
    </cfRule>
  </conditionalFormatting>
  <conditionalFormatting sqref="F55:G55 E56:H56 E79:F80 F81:F85 F87 F95:F96 F140:G140 F153 J217:M217">
    <cfRule type="expression" dxfId="1304" priority="292">
      <formula>$R55="Benzick, Sue"</formula>
    </cfRule>
    <cfRule type="expression" dxfId="1303" priority="294">
      <formula>$R55="McQueen, Jennifer"</formula>
    </cfRule>
    <cfRule type="expression" dxfId="1302" priority="293">
      <formula>$R55="Jenne, Richard"</formula>
    </cfRule>
  </conditionalFormatting>
  <conditionalFormatting sqref="F92:G93">
    <cfRule type="expression" dxfId="1301" priority="107">
      <formula>#REF!="Jenne, Richard"</formula>
    </cfRule>
    <cfRule type="expression" dxfId="1300" priority="108">
      <formula>#REF!="McQueen, Jennifer"</formula>
    </cfRule>
    <cfRule type="expression" dxfId="1299" priority="106">
      <formula>#REF!="Benzick, Sue"</formula>
    </cfRule>
  </conditionalFormatting>
  <conditionalFormatting sqref="F99:G99">
    <cfRule type="expression" dxfId="1298" priority="110">
      <formula>#REF!="Jenne, Richard"</formula>
    </cfRule>
    <cfRule type="expression" dxfId="1297" priority="111">
      <formula>#REF!="McQueen, Jennifer"</formula>
    </cfRule>
    <cfRule type="expression" dxfId="1296" priority="109">
      <formula>#REF!="Benzick, Sue"</formula>
    </cfRule>
  </conditionalFormatting>
  <conditionalFormatting sqref="F114:G116">
    <cfRule type="expression" dxfId="1295" priority="83">
      <formula>#REF!="Jenne, Richard"</formula>
    </cfRule>
    <cfRule type="expression" dxfId="1294" priority="82">
      <formula>#REF!="Benzick, Sue"</formula>
    </cfRule>
    <cfRule type="expression" dxfId="1293" priority="84">
      <formula>#REF!="McQueen, Jennifer"</formula>
    </cfRule>
  </conditionalFormatting>
  <conditionalFormatting sqref="F118:G118">
    <cfRule type="expression" dxfId="1292" priority="115">
      <formula>$T118="Benzick, Sue"</formula>
    </cfRule>
    <cfRule type="expression" dxfId="1291" priority="117">
      <formula>$T118="McQueen, Jennifer"</formula>
    </cfRule>
    <cfRule type="expression" dxfId="1290" priority="116">
      <formula>$T118="Jenne, Richard"</formula>
    </cfRule>
  </conditionalFormatting>
  <conditionalFormatting sqref="F119:G121">
    <cfRule type="expression" dxfId="1289" priority="113">
      <formula>#REF!="Jenne, Richard"</formula>
    </cfRule>
    <cfRule type="expression" dxfId="1288" priority="114">
      <formula>#REF!="McQueen, Jennifer"</formula>
    </cfRule>
    <cfRule type="expression" dxfId="1287" priority="112">
      <formula>#REF!="Benzick, Sue"</formula>
    </cfRule>
  </conditionalFormatting>
  <conditionalFormatting sqref="F130:G133">
    <cfRule type="expression" dxfId="1286" priority="88">
      <formula>#REF!="Benzick, Sue"</formula>
    </cfRule>
    <cfRule type="expression" dxfId="1285" priority="90">
      <formula>#REF!="McQueen, Jennifer"</formula>
    </cfRule>
    <cfRule type="expression" dxfId="1284" priority="89">
      <formula>#REF!="Jenne, Richard"</formula>
    </cfRule>
  </conditionalFormatting>
  <conditionalFormatting sqref="F162:G162">
    <cfRule type="expression" dxfId="1283" priority="226">
      <formula>#REF!="Benzick, Sue"</formula>
    </cfRule>
    <cfRule type="expression" dxfId="1282" priority="228">
      <formula>#REF!="McQueen, Jennifer"</formula>
    </cfRule>
    <cfRule type="expression" dxfId="1281" priority="227">
      <formula>#REF!="Jenne, Richard"</formula>
    </cfRule>
  </conditionalFormatting>
  <conditionalFormatting sqref="F113:H113 H119:I121">
    <cfRule type="expression" dxfId="1280" priority="271">
      <formula>#REF!="Benzick, Sue"</formula>
    </cfRule>
    <cfRule type="expression" dxfId="1279" priority="272">
      <formula>#REF!="Jenne, Richard"</formula>
    </cfRule>
    <cfRule type="expression" dxfId="1278" priority="273">
      <formula>#REF!="McQueen, Jennifer"</formula>
    </cfRule>
  </conditionalFormatting>
  <conditionalFormatting sqref="F136:H136 E137:I137 H138 H139:I140 H143:I148 H149 H150:I150 H152:I152 I153 H160:H161 H162:I162 H165:I165 H167:I168 H170:I170 H172:I174 H177:I177 I184 H185:I186 H187 H191">
    <cfRule type="expression" dxfId="1277" priority="265">
      <formula>#REF!="Benzick, Sue"</formula>
    </cfRule>
    <cfRule type="expression" dxfId="1276" priority="266">
      <formula>#REF!="Jenne, Richard"</formula>
    </cfRule>
    <cfRule type="expression" dxfId="1275" priority="267">
      <formula>#REF!="McQueen, Jennifer"</formula>
    </cfRule>
  </conditionalFormatting>
  <conditionalFormatting sqref="F296:H296 H397:I402 H403">
    <cfRule type="expression" dxfId="1274" priority="245">
      <formula>#REF!="Jenne, Richard"</formula>
    </cfRule>
    <cfRule type="expression" dxfId="1273" priority="244">
      <formula>#REF!="Benzick, Sue"</formula>
    </cfRule>
    <cfRule type="expression" dxfId="1272" priority="246">
      <formula>#REF!="McQueen, Jennifer"</formula>
    </cfRule>
  </conditionalFormatting>
  <conditionalFormatting sqref="F297:H298 F382:H382 F384:H384 F385:G386">
    <cfRule type="expression" dxfId="1271" priority="243">
      <formula>$P297="McQueen, Jennifer"</formula>
    </cfRule>
    <cfRule type="expression" dxfId="1270" priority="242">
      <formula>$P297="Jenne, Richard"</formula>
    </cfRule>
    <cfRule type="expression" dxfId="1269" priority="241">
      <formula>$P297="Benzick, Sue"</formula>
    </cfRule>
  </conditionalFormatting>
  <conditionalFormatting sqref="F381:H381 F383:H383 F387:H388 F389:G390 F391:H393 F394:I394 F395:H396 F397:G398 H404:I404 H406:I409">
    <cfRule type="expression" dxfId="1268" priority="239">
      <formula>#REF!="Jenne, Richard"</formula>
    </cfRule>
    <cfRule type="expression" dxfId="1267" priority="238">
      <formula>#REF!="Benzick, Sue"</formula>
    </cfRule>
    <cfRule type="expression" dxfId="1266" priority="240">
      <formula>#REF!="McQueen, Jennifer"</formula>
    </cfRule>
  </conditionalFormatting>
  <conditionalFormatting sqref="G16:I20 G21:N21 G22:I22 F23:I26 H27:I30 H31:H35 J31:N36 I31:I63 H37:H39 J40:N40 H41:H43 J53:N53 J55:N57 H57:H59 J60:N61 H62:H63 I64:N64 J87:N87 K88:N91 I90:I91 H91 H92:I96 H97 H98:I98 I99:N100 H101:I102 J103:N104 I103:I116 J112:N112 I122 K122:N122 H123:I124 I125:I126 K125:N126 N128:N129 I129:M129 K130:N130 I130:I133 J132:N132 K133:N133 J141:N141 I151:N151 J153:N153 J155:N155 I156 K156:N156 I157:K157 M157:N157 H158:I159 J163:N163 I164:K164 M164:N164 H166:N166 I169:N169 H171:N171 I173:N173 I178:N179 H180:I181 H183:I183 I192:N192 I194:N198 H200:N200 H203 H206:N206 I211 H212:I217 I218 I227:N228 I237:N238 I249:N249 I251:N253 I254 I259:N262 I265:N268 I270:N270 I273:N273 I281:N281 I283:N284 I286:N286 I290:N290 I293:N294 H295:I295 I296:N299 H300:I300 I301:N301 I305:N305 H306:I306 H307:N307 I308:N311 H314:I314 I316:N316 I319:N321 I325:N325 I329:N330 I333:N333 I336:N336 I340:N340 I345:N345 I349:N349 I351:N351 I353:N353 H354:I354 I359:N359 H362:I362 I364:N367 I374:N374 I378:N384 I387:N388 I391:N391 I392 I393:N393 I395:N396 I405:N405 I410:N411 H412:I412 I413:N414 H415:I416 I417:N417 H418:I418 I419 H420:I429 I430:N431 H432:I432 I433:N434 H435:I436 H443:I450 F446:G457 I451 H452:I458">
    <cfRule type="expression" dxfId="1265" priority="287">
      <formula>#REF!="Jenne, Richard"</formula>
    </cfRule>
    <cfRule type="expression" dxfId="1264" priority="288">
      <formula>#REF!="McQueen, Jennifer"</formula>
    </cfRule>
    <cfRule type="expression" dxfId="1263" priority="286">
      <formula>#REF!="Benzick, Sue"</formula>
    </cfRule>
  </conditionalFormatting>
  <conditionalFormatting sqref="G182:N182">
    <cfRule type="expression" dxfId="1262" priority="133">
      <formula>#REF!="Benzick, Sue"</formula>
    </cfRule>
    <cfRule type="expression" dxfId="1261" priority="134">
      <formula>#REF!="Jenne, Richard"</formula>
    </cfRule>
    <cfRule type="expression" dxfId="1260" priority="135">
      <formula>#REF!="McQueen, Jennifer"</formula>
    </cfRule>
  </conditionalFormatting>
  <conditionalFormatting sqref="H46:H55 H114:H118 H127:I128 H129:H133 H134:I134 H135 H142 H169 H173 H175:H176 H184">
    <cfRule type="expression" dxfId="1259" priority="257">
      <formula>#REF!="Jenne, Richard"</formula>
    </cfRule>
    <cfRule type="expression" dxfId="1258" priority="258">
      <formula>#REF!="McQueen, Jennifer"</formula>
    </cfRule>
    <cfRule type="expression" dxfId="1257" priority="256">
      <formula>#REF!="Benzick, Sue"</formula>
    </cfRule>
  </conditionalFormatting>
  <conditionalFormatting sqref="H65 I65:I76 J66:N76 H77:I89 E127:G127 E128:E133 I154:N154">
    <cfRule type="expression" dxfId="1256" priority="259">
      <formula>#REF!="Benzick, Sue"</formula>
    </cfRule>
    <cfRule type="expression" dxfId="1255" priority="261">
      <formula>#REF!="McQueen, Jennifer"</formula>
    </cfRule>
    <cfRule type="expression" dxfId="1254" priority="260">
      <formula>#REF!="Jenne, Richard"</formula>
    </cfRule>
  </conditionalFormatting>
  <conditionalFormatting sqref="H125:H126">
    <cfRule type="expression" dxfId="1253" priority="282">
      <formula>#REF!="McQueen, Jennifer"</formula>
    </cfRule>
    <cfRule type="expression" dxfId="1252" priority="281">
      <formula>#REF!="Jenne, Richard"</formula>
    </cfRule>
    <cfRule type="expression" dxfId="1251" priority="280">
      <formula>#REF!="Benzick, Sue"</formula>
    </cfRule>
  </conditionalFormatting>
  <conditionalFormatting sqref="H234">
    <cfRule type="expression" dxfId="1250" priority="131">
      <formula>#REF!="Jenne, Richard"</formula>
    </cfRule>
    <cfRule type="expression" dxfId="1249" priority="130">
      <formula>#REF!="Benzick, Sue"</formula>
    </cfRule>
    <cfRule type="expression" dxfId="1248" priority="132">
      <formula>#REF!="McQueen, Jennifer"</formula>
    </cfRule>
  </conditionalFormatting>
  <conditionalFormatting sqref="H4:I15 H105:H112 F108:G110 F122:H122">
    <cfRule type="expression" dxfId="1247" priority="283">
      <formula>#REF!="Benzick, Sue"</formula>
    </cfRule>
    <cfRule type="expression" dxfId="1246" priority="284">
      <formula>#REF!="Jenne, Richard"</formula>
    </cfRule>
    <cfRule type="expression" dxfId="1245" priority="285">
      <formula>#REF!="McQueen, Jennifer"</formula>
    </cfRule>
  </conditionalFormatting>
  <conditionalFormatting sqref="I97">
    <cfRule type="expression" dxfId="1244" priority="216">
      <formula>#REF!="McQueen, Jennifer"</formula>
    </cfRule>
    <cfRule type="expression" dxfId="1243" priority="215">
      <formula>#REF!="Jenne, Richard"</formula>
    </cfRule>
    <cfRule type="expression" dxfId="1242" priority="214">
      <formula>#REF!="Benzick, Sue"</formula>
    </cfRule>
  </conditionalFormatting>
  <conditionalFormatting sqref="I135">
    <cfRule type="expression" dxfId="1241" priority="77">
      <formula>#REF!="Jenne, Richard"</formula>
    </cfRule>
    <cfRule type="expression" dxfId="1240" priority="78">
      <formula>#REF!="McQueen, Jennifer"</formula>
    </cfRule>
    <cfRule type="expression" dxfId="1239" priority="76">
      <formula>#REF!="Benzick, Sue"</formula>
    </cfRule>
  </conditionalFormatting>
  <conditionalFormatting sqref="I136">
    <cfRule type="expression" dxfId="1238" priority="19">
      <formula>$T136="Benzick, Sue"</formula>
    </cfRule>
    <cfRule type="expression" dxfId="1237" priority="21">
      <formula>$T136="McQueen, Jennifer"</formula>
    </cfRule>
    <cfRule type="expression" dxfId="1236" priority="20">
      <formula>$T136="Jenne, Richard"</formula>
    </cfRule>
  </conditionalFormatting>
  <conditionalFormatting sqref="I138">
    <cfRule type="expression" dxfId="1235" priority="27">
      <formula>$T138="McQueen, Jennifer"</formula>
    </cfRule>
    <cfRule type="expression" dxfId="1234" priority="26">
      <formula>$T138="Jenne, Richard"</formula>
    </cfRule>
    <cfRule type="expression" dxfId="1233" priority="25">
      <formula>$T138="Benzick, Sue"</formula>
    </cfRule>
  </conditionalFormatting>
  <conditionalFormatting sqref="I141:I142">
    <cfRule type="expression" dxfId="1232" priority="35">
      <formula>$T141="Jenne, Richard"</formula>
    </cfRule>
    <cfRule type="expression" dxfId="1231" priority="36">
      <formula>$T141="McQueen, Jennifer"</formula>
    </cfRule>
    <cfRule type="expression" dxfId="1230" priority="34">
      <formula>$T141="Benzick, Sue"</formula>
    </cfRule>
  </conditionalFormatting>
  <conditionalFormatting sqref="I155">
    <cfRule type="expression" dxfId="1229" priority="18">
      <formula>$T155="McQueen, Jennifer"</formula>
    </cfRule>
    <cfRule type="expression" dxfId="1228" priority="17">
      <formula>$T155="Jenne, Richard"</formula>
    </cfRule>
    <cfRule type="expression" dxfId="1227" priority="16">
      <formula>$T155="Benzick, Sue"</formula>
    </cfRule>
  </conditionalFormatting>
  <conditionalFormatting sqref="I160">
    <cfRule type="expression" dxfId="1226" priority="9">
      <formula>$T160="McQueen, Jennifer"</formula>
    </cfRule>
    <cfRule type="expression" dxfId="1225" priority="8">
      <formula>$T160="Jenne, Richard"</formula>
    </cfRule>
    <cfRule type="expression" dxfId="1224" priority="7">
      <formula>$T160="Benzick, Sue"</formula>
    </cfRule>
  </conditionalFormatting>
  <conditionalFormatting sqref="I161">
    <cfRule type="expression" dxfId="1223" priority="127">
      <formula>#REF!="Benzick, Sue"</formula>
    </cfRule>
    <cfRule type="expression" dxfId="1222" priority="128">
      <formula>#REF!="Jenne, Richard"</formula>
    </cfRule>
    <cfRule type="expression" dxfId="1221" priority="129">
      <formula>#REF!="McQueen, Jennifer"</formula>
    </cfRule>
  </conditionalFormatting>
  <conditionalFormatting sqref="I163">
    <cfRule type="expression" dxfId="1220" priority="5">
      <formula>$T163="Jenne, Richard"</formula>
    </cfRule>
    <cfRule type="expression" dxfId="1219" priority="4">
      <formula>$T163="Benzick, Sue"</formula>
    </cfRule>
    <cfRule type="expression" dxfId="1218" priority="6">
      <formula>$T163="McQueen, Jennifer"</formula>
    </cfRule>
  </conditionalFormatting>
  <conditionalFormatting sqref="I175:I176">
    <cfRule type="expression" dxfId="1217" priority="149">
      <formula>#REF!="Jenne, Richard"</formula>
    </cfRule>
    <cfRule type="expression" dxfId="1216" priority="148">
      <formula>#REF!="Benzick, Sue"</formula>
    </cfRule>
    <cfRule type="expression" dxfId="1215" priority="150">
      <formula>#REF!="McQueen, Jennifer"</formula>
    </cfRule>
  </conditionalFormatting>
  <conditionalFormatting sqref="I203">
    <cfRule type="expression" dxfId="1214" priority="212">
      <formula>#REF!="Jenne, Richard"</formula>
    </cfRule>
    <cfRule type="expression" dxfId="1213" priority="211">
      <formula>#REF!="Benzick, Sue"</formula>
    </cfRule>
    <cfRule type="expression" dxfId="1212" priority="213">
      <formula>#REF!="McQueen, Jennifer"</formula>
    </cfRule>
  </conditionalFormatting>
  <conditionalFormatting sqref="I220">
    <cfRule type="expression" dxfId="1211" priority="177">
      <formula>#REF!="McQueen, Jennifer"</formula>
    </cfRule>
    <cfRule type="expression" dxfId="1210" priority="176">
      <formula>#REF!="Jenne, Richard"</formula>
    </cfRule>
    <cfRule type="expression" dxfId="1209" priority="175">
      <formula>#REF!="Benzick, Sue"</formula>
    </cfRule>
  </conditionalFormatting>
  <conditionalFormatting sqref="I246">
    <cfRule type="expression" dxfId="1208" priority="169">
      <formula>#REF!="Benzick, Sue"</formula>
    </cfRule>
    <cfRule type="expression" dxfId="1207" priority="170">
      <formula>#REF!="Jenne, Richard"</formula>
    </cfRule>
    <cfRule type="expression" dxfId="1206" priority="171">
      <formula>#REF!="McQueen, Jennifer"</formula>
    </cfRule>
  </conditionalFormatting>
  <conditionalFormatting sqref="I285">
    <cfRule type="expression" dxfId="1205" priority="205">
      <formula>#REF!="Benzick, Sue"</formula>
    </cfRule>
    <cfRule type="expression" dxfId="1204" priority="206">
      <formula>#REF!="Jenne, Richard"</formula>
    </cfRule>
    <cfRule type="expression" dxfId="1203" priority="207">
      <formula>#REF!="McQueen, Jennifer"</formula>
    </cfRule>
  </conditionalFormatting>
  <conditionalFormatting sqref="I332">
    <cfRule type="expression" dxfId="1202" priority="208">
      <formula>#REF!="Benzick, Sue"</formula>
    </cfRule>
    <cfRule type="expression" dxfId="1201" priority="209">
      <formula>#REF!="Jenne, Richard"</formula>
    </cfRule>
    <cfRule type="expression" dxfId="1200" priority="210">
      <formula>#REF!="McQueen, Jennifer"</formula>
    </cfRule>
  </conditionalFormatting>
  <conditionalFormatting sqref="I187:N190">
    <cfRule type="expression" dxfId="1199" priority="189">
      <formula>#REF!="McQueen, Jennifer"</formula>
    </cfRule>
    <cfRule type="expression" dxfId="1198" priority="188">
      <formula>#REF!="Jenne, Richard"</formula>
    </cfRule>
    <cfRule type="expression" dxfId="1197" priority="187">
      <formula>#REF!="Benzick, Sue"</formula>
    </cfRule>
  </conditionalFormatting>
  <conditionalFormatting sqref="I257:N257">
    <cfRule type="expression" dxfId="1196" priority="123">
      <formula>#REF!="McQueen, Jennifer"</formula>
    </cfRule>
    <cfRule type="expression" dxfId="1195" priority="122">
      <formula>#REF!="Jenne, Richard"</formula>
    </cfRule>
    <cfRule type="expression" dxfId="1194" priority="121">
      <formula>#REF!="Benzick, Sue"</formula>
    </cfRule>
  </conditionalFormatting>
  <conditionalFormatting sqref="I275:N275">
    <cfRule type="expression" dxfId="1193" priority="126">
      <formula>#REF!="McQueen, Jennifer"</formula>
    </cfRule>
    <cfRule type="expression" dxfId="1192" priority="125">
      <formula>#REF!="Jenne, Richard"</formula>
    </cfRule>
    <cfRule type="expression" dxfId="1191" priority="124">
      <formula>#REF!="Benzick, Sue"</formula>
    </cfRule>
  </conditionalFormatting>
  <conditionalFormatting sqref="I403:N403">
    <cfRule type="expression" dxfId="1190" priority="186">
      <formula>#REF!="McQueen, Jennifer"</formula>
    </cfRule>
    <cfRule type="expression" dxfId="1189" priority="185">
      <formula>#REF!="Jenne, Richard"</formula>
    </cfRule>
    <cfRule type="expression" dxfId="1188" priority="184">
      <formula>#REF!="Benzick, Sue"</formula>
    </cfRule>
  </conditionalFormatting>
  <conditionalFormatting sqref="I437:N442">
    <cfRule type="expression" dxfId="1187" priority="218">
      <formula>#REF!="Jenne, Richard"</formula>
    </cfRule>
    <cfRule type="expression" dxfId="1186" priority="217">
      <formula>#REF!="Benzick, Sue"</formula>
    </cfRule>
    <cfRule type="expression" dxfId="1185" priority="219">
      <formula>#REF!="McQueen, Jennifer"</formula>
    </cfRule>
  </conditionalFormatting>
  <conditionalFormatting sqref="J47">
    <cfRule type="expression" dxfId="1184" priority="202">
      <formula>#REF!="Benzick, Sue"</formula>
    </cfRule>
    <cfRule type="expression" dxfId="1183" priority="203">
      <formula>#REF!="Jenne, Richard"</formula>
    </cfRule>
    <cfRule type="expression" dxfId="1182" priority="204">
      <formula>#REF!="McQueen, Jennifer"</formula>
    </cfRule>
  </conditionalFormatting>
  <conditionalFormatting sqref="J88:J91">
    <cfRule type="expression" dxfId="1181" priority="50">
      <formula>#REF!="Jenne, Richard"</formula>
    </cfRule>
    <cfRule type="expression" dxfId="1180" priority="51">
      <formula>#REF!="McQueen, Jennifer"</formula>
    </cfRule>
    <cfRule type="expression" dxfId="1179" priority="49">
      <formula>#REF!="Benzick, Sue"</formula>
    </cfRule>
  </conditionalFormatting>
  <conditionalFormatting sqref="J101:J102">
    <cfRule type="expression" dxfId="1178" priority="65">
      <formula>#REF!="Jenne, Richard"</formula>
    </cfRule>
    <cfRule type="expression" dxfId="1177" priority="66">
      <formula>#REF!="McQueen, Jennifer"</formula>
    </cfRule>
    <cfRule type="expression" dxfId="1176" priority="64">
      <formula>#REF!="Benzick, Sue"</formula>
    </cfRule>
  </conditionalFormatting>
  <conditionalFormatting sqref="J118:J127">
    <cfRule type="expression" dxfId="1175" priority="53">
      <formula>#REF!="Jenne, Richard"</formula>
    </cfRule>
    <cfRule type="expression" dxfId="1174" priority="52">
      <formula>#REF!="Benzick, Sue"</formula>
    </cfRule>
    <cfRule type="expression" dxfId="1173" priority="54">
      <formula>#REF!="McQueen, Jennifer"</formula>
    </cfRule>
  </conditionalFormatting>
  <conditionalFormatting sqref="J130">
    <cfRule type="expression" dxfId="1172" priority="63">
      <formula>#REF!="McQueen, Jennifer"</formula>
    </cfRule>
    <cfRule type="expression" dxfId="1171" priority="62">
      <formula>#REF!="Jenne, Richard"</formula>
    </cfRule>
    <cfRule type="expression" dxfId="1170" priority="61">
      <formula>#REF!="Benzick, Sue"</formula>
    </cfRule>
  </conditionalFormatting>
  <conditionalFormatting sqref="J133">
    <cfRule type="expression" dxfId="1169" priority="60">
      <formula>#REF!="McQueen, Jennifer"</formula>
    </cfRule>
    <cfRule type="expression" dxfId="1168" priority="59">
      <formula>#REF!="Jenne, Richard"</formula>
    </cfRule>
    <cfRule type="expression" dxfId="1167" priority="58">
      <formula>#REF!="Benzick, Sue"</formula>
    </cfRule>
  </conditionalFormatting>
  <conditionalFormatting sqref="J137">
    <cfRule type="expression" dxfId="1166" priority="22">
      <formula>$T137="Benzick, Sue"</formula>
    </cfRule>
    <cfRule type="expression" dxfId="1165" priority="23">
      <formula>$T137="Jenne, Richard"</formula>
    </cfRule>
    <cfRule type="expression" dxfId="1164" priority="24">
      <formula>$T137="McQueen, Jennifer"</formula>
    </cfRule>
  </conditionalFormatting>
  <conditionalFormatting sqref="J139:J140">
    <cfRule type="expression" dxfId="1163" priority="28">
      <formula>$T139="Benzick, Sue"</formula>
    </cfRule>
    <cfRule type="expression" dxfId="1162" priority="29">
      <formula>$T139="Jenne, Richard"</formula>
    </cfRule>
    <cfRule type="expression" dxfId="1161" priority="30">
      <formula>$T139="McQueen, Jennifer"</formula>
    </cfRule>
  </conditionalFormatting>
  <conditionalFormatting sqref="J156">
    <cfRule type="expression" dxfId="1160" priority="13">
      <formula>$T156="Benzick, Sue"</formula>
    </cfRule>
    <cfRule type="expression" dxfId="1159" priority="14">
      <formula>$T156="Jenne, Richard"</formula>
    </cfRule>
    <cfRule type="expression" dxfId="1158" priority="15">
      <formula>$T156="McQueen, Jennifer"</formula>
    </cfRule>
  </conditionalFormatting>
  <conditionalFormatting sqref="J220">
    <cfRule type="expression" dxfId="1157" priority="174">
      <formula>$T220="McQueen, Jennifer"</formula>
    </cfRule>
    <cfRule type="expression" dxfId="1156" priority="173">
      <formula>$T220="Jenne, Richard"</formula>
    </cfRule>
    <cfRule type="expression" dxfId="1155" priority="172">
      <formula>$T220="Benzick, Sue"</formula>
    </cfRule>
  </conditionalFormatting>
  <conditionalFormatting sqref="J246">
    <cfRule type="expression" dxfId="1154" priority="168">
      <formula>$T246="McQueen, Jennifer"</formula>
    </cfRule>
    <cfRule type="expression" dxfId="1153" priority="166">
      <formula>$T246="Benzick, Sue"</formula>
    </cfRule>
    <cfRule type="expression" dxfId="1152" priority="167">
      <formula>$T246="Jenne, Richard"</formula>
    </cfRule>
  </conditionalFormatting>
  <conditionalFormatting sqref="J254">
    <cfRule type="expression" dxfId="1151" priority="163">
      <formula>$T254="Benzick, Sue"</formula>
    </cfRule>
    <cfRule type="expression" dxfId="1150" priority="165">
      <formula>$T254="McQueen, Jennifer"</formula>
    </cfRule>
    <cfRule type="expression" dxfId="1149" priority="164">
      <formula>$T254="Jenne, Richard"</formula>
    </cfRule>
  </conditionalFormatting>
  <conditionalFormatting sqref="J392">
    <cfRule type="expression" dxfId="1148" priority="161">
      <formula>$T392="Jenne, Richard"</formula>
    </cfRule>
    <cfRule type="expression" dxfId="1147" priority="162">
      <formula>$T392="McQueen, Jennifer"</formula>
    </cfRule>
    <cfRule type="expression" dxfId="1146" priority="160">
      <formula>$T392="Benzick, Sue"</formula>
    </cfRule>
  </conditionalFormatting>
  <conditionalFormatting sqref="J449">
    <cfRule type="expression" dxfId="1145" priority="159">
      <formula>$T449="McQueen, Jennifer"</formula>
    </cfRule>
    <cfRule type="expression" dxfId="1144" priority="158">
      <formula>$T449="Jenne, Richard"</formula>
    </cfRule>
    <cfRule type="expression" dxfId="1143" priority="157">
      <formula>$T449="Benzick, Sue"</formula>
    </cfRule>
  </conditionalFormatting>
  <conditionalFormatting sqref="J4:N20 T4:T76 A16:A18 S16:S22 S24:S33 S35 S37:S53 F57:G58 S57:S68 E59:G59 E60:H60 F61:H61 E62:G62 J62:N62 F63:G63 F64:H64 E64:E65 J65:N65 F65:F66 A65:A76 E67:F76 S77:T128 J86:N86 J92:L92 N92 A94:A95 J94:L95 N94:N95 E97:E98 H100 J105:N105 A106:A109 J110:N110 J113:N113 K119:N121 K123:N123 T129 S130:T141 A135 E138 K139:N139 E141:H141 E143:G143 S143:T143 J143:N144 E144 S144:S145 T144:T149 F145 K145 M145:N145 F147:G149 S147:S149 J150:N150 F150:F151 S150:T190 F154 E155:E159 E161:E164 E166 E173 F186:F187 S192:T204 J200:N200 J202:N202 T205:T206 S207:T231 J209:N209 J211:N215 A215 J218:N219 J222:N222 J232:N232 S232:S236 T232:T245 J235:N235 T247 J248:N248 S248:T248 T249:T458 A282 A331 J332:N332 A412 A423">
    <cfRule type="expression" dxfId="1142" priority="300">
      <formula>$S4="McQueen, Jennifer"</formula>
    </cfRule>
    <cfRule type="expression" dxfId="1141" priority="298">
      <formula>$S4="Benzick, Sue"</formula>
    </cfRule>
    <cfRule type="expression" dxfId="1140" priority="299">
      <formula>$S4="Jenne, Richard"</formula>
    </cfRule>
  </conditionalFormatting>
  <conditionalFormatting sqref="J22:N22">
    <cfRule type="expression" dxfId="1139" priority="156">
      <formula>$S22="McQueen, Jennifer"</formula>
    </cfRule>
    <cfRule type="expression" dxfId="1138" priority="154">
      <formula>$S22="Benzick, Sue"</formula>
    </cfRule>
    <cfRule type="expression" dxfId="1137" priority="155">
      <formula>$S22="Jenne, Richard"</formula>
    </cfRule>
  </conditionalFormatting>
  <conditionalFormatting sqref="J49:N52">
    <cfRule type="expression" dxfId="1136" priority="181">
      <formula>$T49="Benzick, Sue"</formula>
    </cfRule>
    <cfRule type="expression" dxfId="1135" priority="182">
      <formula>$T49="Jenne, Richard"</formula>
    </cfRule>
    <cfRule type="expression" dxfId="1134" priority="183">
      <formula>$T49="McQueen, Jennifer"</formula>
    </cfRule>
  </conditionalFormatting>
  <conditionalFormatting sqref="J59:N59">
    <cfRule type="expression" dxfId="1133" priority="178">
      <formula>$T59="Benzick, Sue"</formula>
    </cfRule>
    <cfRule type="expression" dxfId="1132" priority="179">
      <formula>$T59="Jenne, Richard"</formula>
    </cfRule>
    <cfRule type="expression" dxfId="1131" priority="180">
      <formula>$T59="McQueen, Jennifer"</formula>
    </cfRule>
  </conditionalFormatting>
  <conditionalFormatting sqref="J115:N116 I117:L117 N117 I118 K118:N118">
    <cfRule type="expression" dxfId="1130" priority="152">
      <formula>#REF!="Jenne, Richard"</formula>
    </cfRule>
    <cfRule type="expression" dxfId="1129" priority="151">
      <formula>#REF!="Benzick, Sue"</formula>
    </cfRule>
    <cfRule type="expression" dxfId="1128" priority="153">
      <formula>#REF!="McQueen, Jennifer"</formula>
    </cfRule>
  </conditionalFormatting>
  <conditionalFormatting sqref="K47">
    <cfRule type="expression" dxfId="1127" priority="200">
      <formula>#REF!="Jenne, Richard"</formula>
    </cfRule>
    <cfRule type="expression" dxfId="1126" priority="201">
      <formula>#REF!="McQueen, Jennifer"</formula>
    </cfRule>
    <cfRule type="expression" dxfId="1125" priority="199">
      <formula>#REF!="Benzick, Sue"</formula>
    </cfRule>
  </conditionalFormatting>
  <conditionalFormatting sqref="L47">
    <cfRule type="expression" dxfId="1124" priority="197">
      <formula>#REF!="Jenne, Richard"</formula>
    </cfRule>
    <cfRule type="expression" dxfId="1123" priority="196">
      <formula>#REF!="Benzick, Sue"</formula>
    </cfRule>
    <cfRule type="expression" dxfId="1122" priority="198">
      <formula>#REF!="McQueen, Jennifer"</formula>
    </cfRule>
  </conditionalFormatting>
  <conditionalFormatting sqref="L157">
    <cfRule type="expression" dxfId="1121" priority="12">
      <formula>$T157="McQueen, Jennifer"</formula>
    </cfRule>
    <cfRule type="expression" dxfId="1120" priority="11">
      <formula>$T157="Jenne, Richard"</formula>
    </cfRule>
    <cfRule type="expression" dxfId="1119" priority="10">
      <formula>$T157="Benzick, Sue"</formula>
    </cfRule>
  </conditionalFormatting>
  <conditionalFormatting sqref="L164">
    <cfRule type="expression" dxfId="1118" priority="2">
      <formula>$T164="Jenne, Richard"</formula>
    </cfRule>
    <cfRule type="expression" dxfId="1117" priority="1">
      <formula>$T164="Benzick, Sue"</formula>
    </cfRule>
    <cfRule type="expression" dxfId="1116" priority="3">
      <formula>$T164="McQueen, Jennifer"</formula>
    </cfRule>
  </conditionalFormatting>
  <conditionalFormatting sqref="M47">
    <cfRule type="expression" dxfId="1115" priority="195">
      <formula>#REF!="McQueen, Jennifer"</formula>
    </cfRule>
    <cfRule type="expression" dxfId="1114" priority="194">
      <formula>#REF!="Jenne, Richard"</formula>
    </cfRule>
    <cfRule type="expression" dxfId="1113" priority="193">
      <formula>#REF!="Benzick, Sue"</formula>
    </cfRule>
  </conditionalFormatting>
  <conditionalFormatting sqref="M92:M96">
    <cfRule type="expression" dxfId="1112" priority="70">
      <formula>#REF!="Benzick, Sue"</formula>
    </cfRule>
    <cfRule type="expression" dxfId="1111" priority="71">
      <formula>#REF!="Jenne, Richard"</formula>
    </cfRule>
    <cfRule type="expression" dxfId="1110" priority="72">
      <formula>#REF!="McQueen, Jennifer"</formula>
    </cfRule>
  </conditionalFormatting>
  <conditionalFormatting sqref="M117">
    <cfRule type="expression" dxfId="1109" priority="68">
      <formula>#REF!="Jenne, Richard"</formula>
    </cfRule>
    <cfRule type="expression" dxfId="1108" priority="67">
      <formula>#REF!="Benzick, Sue"</formula>
    </cfRule>
    <cfRule type="expression" dxfId="1107" priority="69">
      <formula>#REF!="McQueen, Jennifer"</formula>
    </cfRule>
  </conditionalFormatting>
  <conditionalFormatting sqref="N47">
    <cfRule type="expression" dxfId="1106" priority="192">
      <formula>#REF!="McQueen, Jennifer"</formula>
    </cfRule>
    <cfRule type="expression" dxfId="1105" priority="191">
      <formula>#REF!="Jenne, Richard"</formula>
    </cfRule>
    <cfRule type="expression" dxfId="1104" priority="190">
      <formula>#REF!="Benzick, Sue"</formula>
    </cfRule>
  </conditionalFormatting>
  <conditionalFormatting sqref="N97:N98">
    <cfRule type="expression" dxfId="1103" priority="74">
      <formula>#REF!="Jenne, Richard"</formula>
    </cfRule>
    <cfRule type="expression" dxfId="1102" priority="75">
      <formula>#REF!="McQueen, Jennifer"</formula>
    </cfRule>
    <cfRule type="expression" dxfId="1101" priority="73">
      <formula>#REF!="Benzick, Sue"</formula>
    </cfRule>
  </conditionalFormatting>
  <conditionalFormatting sqref="W4:W22 W130:W141 W182">
    <cfRule type="expression" dxfId="1100" priority="142">
      <formula>$X4="Benzick, Sue"</formula>
    </cfRule>
    <cfRule type="expression" dxfId="1099" priority="143">
      <formula>$X4="Jenne, Richard"</formula>
    </cfRule>
    <cfRule type="expression" dxfId="1098" priority="144">
      <formula>$X4="McQueen, Jennifer"</formula>
    </cfRule>
  </conditionalFormatting>
  <conditionalFormatting sqref="W335:W337">
    <cfRule type="expression" dxfId="1097" priority="301">
      <formula>$Y335="Benzick, Sue"</formula>
    </cfRule>
    <cfRule type="expression" dxfId="1096" priority="303">
      <formula>$Y335="McQueen, Jennifer"</formula>
    </cfRule>
    <cfRule type="expression" dxfId="1095" priority="302">
      <formula>$Y335="Jenne, Richard"</formula>
    </cfRule>
  </conditionalFormatting>
  <conditionalFormatting sqref="Y4:Y141 J23:N23 W24:W33 W35 W37:W53 W57:W68 W77:W128 W143:W157 Y143:Y190 Y192:Y245 Y247:Y458">
    <cfRule type="expression" dxfId="1094" priority="304">
      <formula>$X4="Benzick, Sue"</formula>
    </cfRule>
    <cfRule type="expression" dxfId="1093" priority="305">
      <formula>$X4="Jenne, Richard"</formula>
    </cfRule>
    <cfRule type="expression" dxfId="1092" priority="306">
      <formula>$X4="McQueen, Jennifer"</formula>
    </cfRule>
  </conditionalFormatting>
  <dataValidations count="4">
    <dataValidation allowBlank="1" showInputMessage="1" showErrorMessage="1" sqref="S247:S458 S192:S245 S143:S190 S4:S141" xr:uid="{97157EB6-2C71-49DE-874B-E57713A9CC44}"/>
    <dataValidation type="list" allowBlank="1" showInputMessage="1" showErrorMessage="1" sqref="A60:A62 A179:A181 A183" xr:uid="{6A517CD9-A46C-4C33-B867-D2873C0695E0}">
      <formula1>Location</formula1>
    </dataValidation>
    <dataValidation type="list" allowBlank="1" showInputMessage="1" showErrorMessage="1" sqref="B460:B466 B468:B738 B4:B458" xr:uid="{E603CEEB-9109-49FC-9FA5-34416865A0A7}">
      <formula1>Class</formula1>
    </dataValidation>
    <dataValidation type="list" allowBlank="1" showInputMessage="1" showErrorMessage="1" sqref="O460:O682" xr:uid="{3522E8B9-22A7-4EED-8A66-EC091F7C6E81}">
      <formula1>Instructor</formula1>
    </dataValidation>
  </dataValidations>
  <printOptions horizontalCentered="1" verticalCentered="1"/>
  <pageMargins left="0.7" right="0.7" top="0.75" bottom="0.75" header="0.3" footer="0.3"/>
  <pageSetup paperSize="5" scale="35" fitToHeight="0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CE9E8-13EC-4B9E-A279-9E528C42A9C8}">
  <sheetPr>
    <pageSetUpPr fitToPage="1"/>
  </sheetPr>
  <dimension ref="A1:AA163"/>
  <sheetViews>
    <sheetView zoomScale="85" zoomScaleNormal="85" workbookViewId="0">
      <selection activeCell="A3" sqref="A3"/>
    </sheetView>
  </sheetViews>
  <sheetFormatPr defaultColWidth="8.7109375" defaultRowHeight="15" x14ac:dyDescent="0.25"/>
  <cols>
    <col min="1" max="1" width="29" style="8" customWidth="1"/>
    <col min="2" max="2" width="68.5703125" style="9" bestFit="1" customWidth="1"/>
    <col min="3" max="3" width="14.28515625" style="2" customWidth="1"/>
    <col min="4" max="4" width="16.28515625" style="11" customWidth="1"/>
    <col min="5" max="5" width="22.7109375" style="9" customWidth="1"/>
    <col min="6" max="6" width="17" style="10" customWidth="1"/>
    <col min="7" max="7" width="15.7109375" style="10" customWidth="1"/>
    <col min="8" max="9" width="14.85546875" style="33" bestFit="1" customWidth="1"/>
    <col min="10" max="14" width="14.85546875" style="33" hidden="1" customWidth="1"/>
    <col min="15" max="15" width="20" style="9" bestFit="1" customWidth="1"/>
    <col min="16" max="16" width="18.42578125" style="9" hidden="1" customWidth="1"/>
    <col min="17" max="17" width="20.28515625" style="8" customWidth="1"/>
    <col min="18" max="18" width="22.42578125" style="8" customWidth="1"/>
    <col min="19" max="19" width="20.28515625" style="12" hidden="1" customWidth="1"/>
    <col min="20" max="20" width="16" style="32" hidden="1" customWidth="1"/>
    <col min="21" max="21" width="12.28515625" style="32" hidden="1" customWidth="1"/>
    <col min="22" max="22" width="16.42578125" style="32" hidden="1" customWidth="1"/>
    <col min="23" max="23" width="15.85546875" style="32" hidden="1" customWidth="1"/>
    <col min="24" max="24" width="16.5703125" style="8" hidden="1" customWidth="1"/>
    <col min="25" max="25" width="16" style="32" hidden="1" customWidth="1"/>
    <col min="26" max="27" width="11" style="8" hidden="1" customWidth="1"/>
    <col min="28" max="16384" width="8.7109375" style="8"/>
  </cols>
  <sheetData>
    <row r="1" spans="1:27" x14ac:dyDescent="0.25">
      <c r="A1" s="8" t="s">
        <v>498</v>
      </c>
      <c r="B1" s="8"/>
      <c r="H1" s="10"/>
      <c r="I1" s="10"/>
      <c r="J1" s="10"/>
      <c r="K1" s="10"/>
      <c r="L1" s="10"/>
      <c r="M1" s="10"/>
      <c r="N1" s="10"/>
    </row>
    <row r="2" spans="1:27" ht="8.4499999999999993" customHeight="1" x14ac:dyDescent="0.25">
      <c r="A2" s="9"/>
    </row>
    <row r="3" spans="1:27" s="30" customFormat="1" ht="72" customHeight="1" thickBot="1" x14ac:dyDescent="0.3">
      <c r="A3" s="26" t="s">
        <v>467</v>
      </c>
      <c r="B3" s="26" t="s">
        <v>188</v>
      </c>
      <c r="C3" s="26" t="s">
        <v>73</v>
      </c>
      <c r="D3" s="110" t="s">
        <v>189</v>
      </c>
      <c r="E3" s="26" t="s">
        <v>156</v>
      </c>
      <c r="F3" s="89" t="s">
        <v>499</v>
      </c>
      <c r="G3" s="89" t="s">
        <v>500</v>
      </c>
      <c r="H3" s="61" t="s">
        <v>192</v>
      </c>
      <c r="I3" s="61" t="s">
        <v>193</v>
      </c>
      <c r="J3" s="61" t="s">
        <v>194</v>
      </c>
      <c r="K3" s="61" t="s">
        <v>195</v>
      </c>
      <c r="L3" s="61" t="s">
        <v>196</v>
      </c>
      <c r="M3" s="61" t="s">
        <v>197</v>
      </c>
      <c r="N3" s="61" t="s">
        <v>198</v>
      </c>
      <c r="O3" s="26" t="s">
        <v>199</v>
      </c>
      <c r="P3" s="26" t="s">
        <v>200</v>
      </c>
      <c r="Q3" s="29" t="s">
        <v>201</v>
      </c>
      <c r="R3" s="29" t="s">
        <v>203</v>
      </c>
      <c r="S3" s="28" t="s">
        <v>207</v>
      </c>
      <c r="T3" s="28" t="s">
        <v>208</v>
      </c>
      <c r="U3" s="28" t="s">
        <v>13</v>
      </c>
      <c r="V3" s="28" t="s">
        <v>14</v>
      </c>
      <c r="W3" s="28" t="s">
        <v>209</v>
      </c>
      <c r="X3" s="28" t="s">
        <v>210</v>
      </c>
      <c r="Y3" s="28" t="s">
        <v>211</v>
      </c>
      <c r="Z3" s="28" t="s">
        <v>212</v>
      </c>
      <c r="AA3" s="28" t="s">
        <v>213</v>
      </c>
    </row>
    <row r="4" spans="1:27" s="93" customFormat="1" ht="14.25" customHeight="1" x14ac:dyDescent="0.25">
      <c r="A4" s="52"/>
      <c r="B4" s="86" t="s">
        <v>15</v>
      </c>
      <c r="C4" s="87" t="s">
        <v>87</v>
      </c>
      <c r="D4" s="87" t="s">
        <v>88</v>
      </c>
      <c r="E4" s="86" t="s">
        <v>86</v>
      </c>
      <c r="F4" s="89">
        <v>45600</v>
      </c>
      <c r="G4" s="89">
        <v>45604</v>
      </c>
      <c r="H4" s="92"/>
      <c r="I4" s="88">
        <v>0.54166666666666663</v>
      </c>
      <c r="J4" s="89"/>
      <c r="K4" s="89"/>
      <c r="L4" s="89"/>
      <c r="M4" s="89"/>
      <c r="N4" s="89"/>
      <c r="O4" s="86" t="s">
        <v>229</v>
      </c>
      <c r="P4" s="86"/>
      <c r="Q4" s="14">
        <v>45</v>
      </c>
      <c r="R4" s="199">
        <v>5</v>
      </c>
      <c r="S4" s="14"/>
      <c r="T4" s="90"/>
      <c r="U4" s="14"/>
      <c r="V4" s="14"/>
      <c r="W4" s="14"/>
      <c r="X4" s="86"/>
      <c r="Y4" s="59">
        <f ca="1">Table29[[#This Row],[5/9/2025]]+2-TODAY()</f>
        <v>-212</v>
      </c>
      <c r="Z4" s="14">
        <f>IF(ISBLANK(Table29[[#This Row],[Roster Received By]]),1,0)</f>
        <v>1</v>
      </c>
      <c r="AA4" s="14">
        <f ca="1">IF(Table29[[#This Row],[5/5/2025]]&gt;TODAY(),1,)</f>
        <v>0</v>
      </c>
    </row>
    <row r="5" spans="1:27" s="93" customFormat="1" ht="14.25" customHeight="1" x14ac:dyDescent="0.25">
      <c r="A5" s="52"/>
      <c r="B5" s="86" t="s">
        <v>15</v>
      </c>
      <c r="C5" s="87" t="s">
        <v>87</v>
      </c>
      <c r="D5" s="87" t="s">
        <v>88</v>
      </c>
      <c r="E5" s="86" t="s">
        <v>86</v>
      </c>
      <c r="F5" s="89">
        <v>45635</v>
      </c>
      <c r="G5" s="89">
        <v>45639</v>
      </c>
      <c r="H5" s="92"/>
      <c r="I5" s="88">
        <v>0.33333333333333331</v>
      </c>
      <c r="J5" s="89"/>
      <c r="K5" s="89"/>
      <c r="L5" s="89"/>
      <c r="M5" s="89"/>
      <c r="N5" s="89"/>
      <c r="O5" s="86" t="s">
        <v>323</v>
      </c>
      <c r="P5" s="86"/>
      <c r="Q5" s="14">
        <v>45</v>
      </c>
      <c r="R5" s="199">
        <v>5</v>
      </c>
      <c r="S5" s="14"/>
      <c r="T5" s="90"/>
      <c r="U5" s="14"/>
      <c r="V5" s="14"/>
      <c r="W5" s="14"/>
      <c r="X5" s="86"/>
      <c r="Y5" s="59">
        <f ca="1">Table29[[#This Row],[5/9/2025]]+2-TODAY()</f>
        <v>-177</v>
      </c>
      <c r="Z5" s="14">
        <f>IF(ISBLANK(Table29[[#This Row],[Roster Received By]]),1,0)</f>
        <v>1</v>
      </c>
      <c r="AA5" s="14">
        <f ca="1">IF(Table29[[#This Row],[5/5/2025]]&gt;TODAY(),1,)</f>
        <v>0</v>
      </c>
    </row>
    <row r="6" spans="1:27" s="93" customFormat="1" ht="14.25" customHeight="1" x14ac:dyDescent="0.25">
      <c r="A6" s="52"/>
      <c r="B6" s="86" t="s">
        <v>15</v>
      </c>
      <c r="C6" s="87" t="s">
        <v>87</v>
      </c>
      <c r="D6" s="87" t="s">
        <v>88</v>
      </c>
      <c r="E6" s="86" t="s">
        <v>86</v>
      </c>
      <c r="F6" s="89">
        <v>45670</v>
      </c>
      <c r="G6" s="89">
        <v>45674</v>
      </c>
      <c r="H6" s="92"/>
      <c r="I6" s="88">
        <v>0.54166666666666663</v>
      </c>
      <c r="J6" s="89"/>
      <c r="K6" s="89"/>
      <c r="L6" s="89"/>
      <c r="M6" s="89"/>
      <c r="N6" s="89"/>
      <c r="O6" s="86" t="s">
        <v>238</v>
      </c>
      <c r="P6" s="86"/>
      <c r="Q6" s="14">
        <v>45</v>
      </c>
      <c r="R6" s="199">
        <v>5</v>
      </c>
      <c r="S6" s="14"/>
      <c r="T6" s="90"/>
      <c r="U6" s="14"/>
      <c r="V6" s="14"/>
      <c r="W6" s="14"/>
      <c r="X6" s="86"/>
      <c r="Y6" s="59">
        <f ca="1">Table29[[#This Row],[5/9/2025]]+2-TODAY()</f>
        <v>-142</v>
      </c>
      <c r="Z6" s="14">
        <f>IF(ISBLANK(Table29[[#This Row],[Roster Received By]]),1,0)</f>
        <v>1</v>
      </c>
      <c r="AA6" s="14">
        <f ca="1">IF(Table29[[#This Row],[5/5/2025]]&gt;TODAY(),1,)</f>
        <v>0</v>
      </c>
    </row>
    <row r="7" spans="1:27" s="93" customFormat="1" ht="14.25" customHeight="1" x14ac:dyDescent="0.25">
      <c r="A7" s="86"/>
      <c r="B7" s="86" t="s">
        <v>15</v>
      </c>
      <c r="C7" s="87" t="s">
        <v>87</v>
      </c>
      <c r="D7" s="87" t="s">
        <v>88</v>
      </c>
      <c r="E7" s="86" t="s">
        <v>86</v>
      </c>
      <c r="F7" s="89">
        <v>45698</v>
      </c>
      <c r="G7" s="89">
        <v>45702</v>
      </c>
      <c r="H7" s="92"/>
      <c r="I7" s="88">
        <v>0.33333333333333331</v>
      </c>
      <c r="J7" s="89"/>
      <c r="K7" s="89"/>
      <c r="L7" s="89"/>
      <c r="M7" s="89"/>
      <c r="N7" s="89"/>
      <c r="O7" s="86" t="s">
        <v>229</v>
      </c>
      <c r="P7" s="86"/>
      <c r="Q7" s="14">
        <v>45</v>
      </c>
      <c r="R7" s="199">
        <v>5</v>
      </c>
      <c r="S7" s="14"/>
      <c r="T7" s="90"/>
      <c r="U7" s="14"/>
      <c r="V7" s="14"/>
      <c r="W7" s="14"/>
      <c r="X7" s="86"/>
      <c r="Y7" s="59">
        <f ca="1">Table29[[#This Row],[5/9/2025]]+2-TODAY()</f>
        <v>-114</v>
      </c>
      <c r="Z7" s="14">
        <f>IF(ISBLANK(Table29[[#This Row],[Roster Received By]]),1,0)</f>
        <v>1</v>
      </c>
      <c r="AA7" s="14">
        <f ca="1">IF(Table29[[#This Row],[5/5/2025]]&gt;TODAY(),1,)</f>
        <v>0</v>
      </c>
    </row>
    <row r="8" spans="1:27" s="93" customFormat="1" ht="14.25" customHeight="1" x14ac:dyDescent="0.25">
      <c r="A8" s="52"/>
      <c r="B8" s="86" t="s">
        <v>15</v>
      </c>
      <c r="C8" s="87" t="s">
        <v>87</v>
      </c>
      <c r="D8" s="87" t="s">
        <v>88</v>
      </c>
      <c r="E8" s="86" t="s">
        <v>86</v>
      </c>
      <c r="F8" s="89">
        <v>45728</v>
      </c>
      <c r="G8" s="89">
        <v>45732</v>
      </c>
      <c r="H8" s="89"/>
      <c r="I8" s="88">
        <v>0.54166666666666663</v>
      </c>
      <c r="J8" s="88"/>
      <c r="K8" s="88"/>
      <c r="L8" s="88"/>
      <c r="M8" s="88"/>
      <c r="N8" s="88"/>
      <c r="O8" s="86" t="s">
        <v>238</v>
      </c>
      <c r="P8" s="86"/>
      <c r="Q8" s="14">
        <v>45</v>
      </c>
      <c r="R8" s="199">
        <v>5</v>
      </c>
      <c r="S8" s="14"/>
      <c r="T8" s="90"/>
      <c r="U8" s="14"/>
      <c r="V8" s="14"/>
      <c r="W8" s="14"/>
      <c r="X8" s="86"/>
      <c r="Y8" s="59">
        <f ca="1">Table29[[#This Row],[5/9/2025]]+2-TODAY()</f>
        <v>-84</v>
      </c>
      <c r="Z8" s="14">
        <f>IF(ISBLANK(Table29[[#This Row],[Roster Received By]]),1,0)</f>
        <v>1</v>
      </c>
      <c r="AA8" s="14">
        <f ca="1">IF(Table29[[#This Row],[5/5/2025]]&gt;TODAY(),1,)</f>
        <v>0</v>
      </c>
    </row>
    <row r="9" spans="1:27" s="93" customFormat="1" ht="14.25" customHeight="1" x14ac:dyDescent="0.25">
      <c r="A9" s="52"/>
      <c r="B9" s="86" t="s">
        <v>15</v>
      </c>
      <c r="C9" s="87" t="s">
        <v>87</v>
      </c>
      <c r="D9" s="87" t="s">
        <v>88</v>
      </c>
      <c r="E9" s="86" t="s">
        <v>86</v>
      </c>
      <c r="F9" s="89">
        <v>45789</v>
      </c>
      <c r="G9" s="89">
        <v>45793</v>
      </c>
      <c r="H9" s="89"/>
      <c r="I9" s="88">
        <v>0.54166666666666663</v>
      </c>
      <c r="J9" s="88"/>
      <c r="K9" s="88"/>
      <c r="L9" s="88"/>
      <c r="M9" s="88"/>
      <c r="N9" s="88"/>
      <c r="O9" s="86" t="s">
        <v>323</v>
      </c>
      <c r="P9" s="86"/>
      <c r="Q9" s="14">
        <v>45</v>
      </c>
      <c r="R9" s="199">
        <v>5</v>
      </c>
      <c r="S9" s="14"/>
      <c r="T9" s="90"/>
      <c r="U9" s="14"/>
      <c r="V9" s="14"/>
      <c r="W9" s="14"/>
      <c r="X9" s="86"/>
      <c r="Y9" s="59">
        <f ca="1">Table29[[#This Row],[5/9/2025]]+2-TODAY()</f>
        <v>-23</v>
      </c>
      <c r="Z9" s="14">
        <f>IF(ISBLANK(Table29[[#This Row],[Roster Received By]]),1,0)</f>
        <v>1</v>
      </c>
      <c r="AA9" s="14">
        <f ca="1">IF(Table29[[#This Row],[5/5/2025]]&gt;TODAY(),1,)</f>
        <v>0</v>
      </c>
    </row>
    <row r="10" spans="1:27" s="93" customFormat="1" ht="14.25" customHeight="1" x14ac:dyDescent="0.25">
      <c r="A10" s="54"/>
      <c r="B10" s="86" t="s">
        <v>15</v>
      </c>
      <c r="C10" s="87" t="s">
        <v>87</v>
      </c>
      <c r="D10" s="87" t="s">
        <v>88</v>
      </c>
      <c r="E10" s="86" t="s">
        <v>86</v>
      </c>
      <c r="F10" s="89">
        <v>45831</v>
      </c>
      <c r="G10" s="89">
        <v>45835</v>
      </c>
      <c r="H10" s="92"/>
      <c r="I10" s="88">
        <v>0.54166666666666663</v>
      </c>
      <c r="J10" s="89"/>
      <c r="K10" s="89"/>
      <c r="L10" s="89"/>
      <c r="M10" s="89"/>
      <c r="N10" s="89"/>
      <c r="O10" s="86" t="s">
        <v>323</v>
      </c>
      <c r="P10" s="86"/>
      <c r="Q10" s="14">
        <v>45</v>
      </c>
      <c r="R10" s="199">
        <v>5</v>
      </c>
      <c r="S10" s="90"/>
      <c r="T10" s="90"/>
      <c r="U10" s="14"/>
      <c r="V10" s="14"/>
      <c r="W10" s="87"/>
      <c r="X10" s="86"/>
      <c r="Y10" s="96">
        <f ca="1">Table29[[#This Row],[5/9/2025]]+2-TODAY()</f>
        <v>19</v>
      </c>
      <c r="Z10" s="14">
        <f>IF(ISBLANK(Table29[[#This Row],[Roster Received By]]),1,0)</f>
        <v>1</v>
      </c>
      <c r="AA10" s="87">
        <f ca="1">IF(Table29[[#This Row],[5/5/2025]]&gt;TODAY(),1,)</f>
        <v>1</v>
      </c>
    </row>
    <row r="11" spans="1:27" s="93" customFormat="1" ht="16.5" customHeight="1" x14ac:dyDescent="0.25">
      <c r="A11" s="87"/>
      <c r="B11" s="86" t="s">
        <v>15</v>
      </c>
      <c r="C11" s="87" t="s">
        <v>87</v>
      </c>
      <c r="D11" s="87" t="s">
        <v>88</v>
      </c>
      <c r="E11" s="86" t="s">
        <v>86</v>
      </c>
      <c r="F11" s="89">
        <v>45859</v>
      </c>
      <c r="G11" s="89">
        <v>45863</v>
      </c>
      <c r="H11" s="95"/>
      <c r="I11" s="88">
        <v>0.54166666666666663</v>
      </c>
      <c r="J11" s="89"/>
      <c r="K11" s="89"/>
      <c r="L11" s="89"/>
      <c r="M11" s="89"/>
      <c r="N11" s="89"/>
      <c r="O11" s="86" t="s">
        <v>323</v>
      </c>
      <c r="P11" s="86"/>
      <c r="Q11" s="14">
        <v>45</v>
      </c>
      <c r="R11" s="199">
        <v>5</v>
      </c>
      <c r="S11" s="94"/>
      <c r="T11" s="90"/>
      <c r="U11" s="14"/>
      <c r="V11" s="14"/>
      <c r="W11" s="14"/>
      <c r="X11" s="86"/>
      <c r="Y11" s="59">
        <f ca="1">Table29[[#This Row],[5/9/2025]]+2-TODAY()</f>
        <v>47</v>
      </c>
      <c r="Z11" s="14">
        <f>IF(ISBLANK(Table29[[#This Row],[Roster Received By]]),1,0)</f>
        <v>1</v>
      </c>
      <c r="AA11" s="14">
        <f ca="1">IF(Table29[[#This Row],[5/5/2025]]&gt;TODAY(),1,)</f>
        <v>1</v>
      </c>
    </row>
    <row r="12" spans="1:27" s="93" customFormat="1" ht="14.25" customHeight="1" x14ac:dyDescent="0.25">
      <c r="A12" s="52"/>
      <c r="B12" s="86" t="s">
        <v>15</v>
      </c>
      <c r="C12" s="87" t="s">
        <v>87</v>
      </c>
      <c r="D12" s="87" t="s">
        <v>88</v>
      </c>
      <c r="E12" s="86" t="s">
        <v>86</v>
      </c>
      <c r="F12" s="89">
        <v>45873</v>
      </c>
      <c r="G12" s="89">
        <v>45877</v>
      </c>
      <c r="H12" s="95"/>
      <c r="I12" s="88">
        <v>0.54166666666666663</v>
      </c>
      <c r="J12" s="89"/>
      <c r="K12" s="89"/>
      <c r="L12" s="89"/>
      <c r="M12" s="89"/>
      <c r="N12" s="89"/>
      <c r="O12" s="86" t="s">
        <v>229</v>
      </c>
      <c r="P12" s="86"/>
      <c r="Q12" s="14">
        <v>45</v>
      </c>
      <c r="R12" s="199">
        <v>5</v>
      </c>
      <c r="S12" s="14"/>
      <c r="T12" s="90"/>
      <c r="U12" s="14"/>
      <c r="V12" s="14"/>
      <c r="W12" s="14"/>
      <c r="X12" s="86"/>
      <c r="Y12" s="59">
        <f ca="1">Table29[[#This Row],[5/9/2025]]+2-TODAY()</f>
        <v>61</v>
      </c>
      <c r="Z12" s="14">
        <f>IF(ISBLANK(Table29[[#This Row],[Roster Received By]]),1,0)</f>
        <v>1</v>
      </c>
      <c r="AA12" s="14">
        <f ca="1">IF(Table29[[#This Row],[5/5/2025]]&gt;TODAY(),1,)</f>
        <v>1</v>
      </c>
    </row>
    <row r="13" spans="1:27" s="93" customFormat="1" ht="16.5" customHeight="1" x14ac:dyDescent="0.25">
      <c r="A13" s="86"/>
      <c r="B13" s="86" t="s">
        <v>17</v>
      </c>
      <c r="C13" s="87" t="s">
        <v>112</v>
      </c>
      <c r="D13" s="87">
        <v>3682</v>
      </c>
      <c r="E13" s="86" t="s">
        <v>162</v>
      </c>
      <c r="F13" s="89">
        <v>45663</v>
      </c>
      <c r="G13" s="89">
        <v>45667</v>
      </c>
      <c r="H13" s="92">
        <v>0.33333333333333331</v>
      </c>
      <c r="I13" s="92"/>
      <c r="J13" s="89"/>
      <c r="K13" s="89"/>
      <c r="L13" s="89"/>
      <c r="M13" s="89"/>
      <c r="N13" s="89"/>
      <c r="O13" s="86" t="s">
        <v>241</v>
      </c>
      <c r="P13" s="86"/>
      <c r="Q13" s="90">
        <v>40</v>
      </c>
      <c r="R13" s="91">
        <v>5</v>
      </c>
      <c r="S13" s="90"/>
      <c r="T13" s="90"/>
      <c r="U13" s="14"/>
      <c r="V13" s="14"/>
      <c r="W13" s="14"/>
      <c r="X13" s="86"/>
      <c r="Y13" s="59">
        <f ca="1">Table29[[#This Row],[5/9/2025]]+2-TODAY()</f>
        <v>-149</v>
      </c>
      <c r="Z13" s="14">
        <f>IF(ISBLANK(Table29[[#This Row],[Roster Received By]]),1,0)</f>
        <v>1</v>
      </c>
      <c r="AA13" s="14">
        <f ca="1">IF(Table29[[#This Row],[5/5/2025]]&gt;TODAY(),1,)</f>
        <v>0</v>
      </c>
    </row>
    <row r="14" spans="1:27" s="93" customFormat="1" ht="14.25" customHeight="1" x14ac:dyDescent="0.25">
      <c r="A14" s="86"/>
      <c r="B14" s="86" t="s">
        <v>17</v>
      </c>
      <c r="C14" s="87" t="s">
        <v>112</v>
      </c>
      <c r="D14" s="87">
        <v>3682</v>
      </c>
      <c r="E14" s="86" t="s">
        <v>174</v>
      </c>
      <c r="F14" s="97">
        <v>45670</v>
      </c>
      <c r="G14" s="97">
        <v>45674</v>
      </c>
      <c r="H14" s="92">
        <v>0.33333333333333331</v>
      </c>
      <c r="I14" s="92"/>
      <c r="J14" s="89"/>
      <c r="K14" s="89"/>
      <c r="L14" s="89"/>
      <c r="M14" s="89"/>
      <c r="N14" s="89"/>
      <c r="O14" s="86" t="s">
        <v>241</v>
      </c>
      <c r="P14" s="86"/>
      <c r="Q14" s="14">
        <v>40</v>
      </c>
      <c r="R14" s="14">
        <v>5</v>
      </c>
      <c r="S14" s="90"/>
      <c r="T14" s="90"/>
      <c r="U14" s="14"/>
      <c r="V14" s="14"/>
      <c r="W14" s="14"/>
      <c r="X14" s="86"/>
      <c r="Y14" s="59">
        <f ca="1">Table29[[#This Row],[5/9/2025]]+2-TODAY()</f>
        <v>-142</v>
      </c>
      <c r="Z14" s="14">
        <f>IF(ISBLANK(Table29[[#This Row],[Roster Received By]]),1,0)</f>
        <v>1</v>
      </c>
      <c r="AA14" s="14">
        <f ca="1">IF(Table29[[#This Row],[5/5/2025]]&gt;TODAY(),1,)</f>
        <v>0</v>
      </c>
    </row>
    <row r="15" spans="1:27" s="93" customFormat="1" ht="14.25" customHeight="1" x14ac:dyDescent="0.25">
      <c r="A15" s="87"/>
      <c r="B15" s="86" t="s">
        <v>17</v>
      </c>
      <c r="C15" s="87" t="s">
        <v>112</v>
      </c>
      <c r="D15" s="87">
        <v>3682</v>
      </c>
      <c r="E15" s="86" t="s">
        <v>176</v>
      </c>
      <c r="F15" s="89">
        <v>45691</v>
      </c>
      <c r="G15" s="89">
        <v>45695</v>
      </c>
      <c r="H15" s="92">
        <v>0.33333333333333331</v>
      </c>
      <c r="I15" s="92"/>
      <c r="J15" s="89"/>
      <c r="K15" s="89"/>
      <c r="L15" s="89"/>
      <c r="M15" s="89"/>
      <c r="N15" s="89"/>
      <c r="O15" s="86" t="s">
        <v>241</v>
      </c>
      <c r="P15" s="86"/>
      <c r="Q15" s="91">
        <v>40</v>
      </c>
      <c r="R15" s="91">
        <v>5</v>
      </c>
      <c r="S15" s="91"/>
      <c r="T15" s="91"/>
      <c r="U15" s="87"/>
      <c r="V15" s="87"/>
      <c r="W15" s="91"/>
      <c r="X15" s="87"/>
      <c r="Y15" s="96">
        <f ca="1">Table29[[#This Row],[5/9/2025]]+2-TODAY()</f>
        <v>-121</v>
      </c>
      <c r="Z15" s="87">
        <f>IF(ISBLANK(Table29[[#This Row],[Roster Received By]]),1,0)</f>
        <v>1</v>
      </c>
      <c r="AA15" s="87">
        <f ca="1">IF(Table29[[#This Row],[5/5/2025]]&gt;TODAY(),1,)</f>
        <v>0</v>
      </c>
    </row>
    <row r="16" spans="1:27" s="93" customFormat="1" ht="14.25" customHeight="1" x14ac:dyDescent="0.25">
      <c r="A16" s="87"/>
      <c r="B16" s="86" t="s">
        <v>17</v>
      </c>
      <c r="C16" s="87" t="s">
        <v>112</v>
      </c>
      <c r="D16" s="87">
        <v>3682</v>
      </c>
      <c r="E16" s="86" t="s">
        <v>284</v>
      </c>
      <c r="F16" s="89">
        <v>45712</v>
      </c>
      <c r="G16" s="89">
        <v>45716</v>
      </c>
      <c r="H16" s="92">
        <v>0.33333333333333331</v>
      </c>
      <c r="I16" s="92"/>
      <c r="J16" s="89"/>
      <c r="K16" s="89"/>
      <c r="L16" s="89"/>
      <c r="M16" s="89"/>
      <c r="N16" s="89"/>
      <c r="O16" s="86" t="s">
        <v>241</v>
      </c>
      <c r="P16" s="86"/>
      <c r="Q16" s="91">
        <v>40</v>
      </c>
      <c r="R16" s="91">
        <v>5</v>
      </c>
      <c r="S16" s="91"/>
      <c r="T16" s="91"/>
      <c r="U16" s="87"/>
      <c r="V16" s="87"/>
      <c r="W16" s="91"/>
      <c r="X16" s="87"/>
      <c r="Y16" s="96">
        <f ca="1">Table29[[#This Row],[5/9/2025]]+2-TODAY()</f>
        <v>-100</v>
      </c>
      <c r="Z16" s="87">
        <f>IF(ISBLANK(Table29[[#This Row],[Roster Received By]]),1,0)</f>
        <v>1</v>
      </c>
      <c r="AA16" s="87">
        <f ca="1">IF(Table29[[#This Row],[5/5/2025]]&gt;TODAY(),1,)</f>
        <v>0</v>
      </c>
    </row>
    <row r="17" spans="1:27" s="125" customFormat="1" ht="14.25" customHeight="1" x14ac:dyDescent="0.25">
      <c r="A17" s="87"/>
      <c r="B17" s="86" t="s">
        <v>17</v>
      </c>
      <c r="C17" s="87" t="s">
        <v>112</v>
      </c>
      <c r="D17" s="87">
        <v>3682</v>
      </c>
      <c r="E17" s="86" t="s">
        <v>294</v>
      </c>
      <c r="F17" s="89">
        <v>45726</v>
      </c>
      <c r="G17" s="89">
        <v>45730</v>
      </c>
      <c r="H17" s="92">
        <v>0.33333333333333331</v>
      </c>
      <c r="I17" s="92"/>
      <c r="J17" s="89"/>
      <c r="K17" s="89"/>
      <c r="L17" s="89"/>
      <c r="M17" s="89"/>
      <c r="N17" s="89"/>
      <c r="O17" s="86" t="s">
        <v>241</v>
      </c>
      <c r="P17" s="86"/>
      <c r="Q17" s="91">
        <v>40</v>
      </c>
      <c r="R17" s="91">
        <v>5</v>
      </c>
      <c r="S17" s="91"/>
      <c r="T17" s="91"/>
      <c r="U17" s="87"/>
      <c r="V17" s="87"/>
      <c r="W17" s="91"/>
      <c r="X17" s="87"/>
      <c r="Y17" s="96">
        <f ca="1">Table29[[#This Row],[5/9/2025]]+2-TODAY()</f>
        <v>-86</v>
      </c>
      <c r="Z17" s="87">
        <f>IF(ISBLANK(Table29[[#This Row],[Roster Received By]]),1,0)</f>
        <v>1</v>
      </c>
      <c r="AA17" s="87">
        <f ca="1">IF(Table29[[#This Row],[5/5/2025]]&gt;TODAY(),1,)</f>
        <v>0</v>
      </c>
    </row>
    <row r="18" spans="1:27" s="93" customFormat="1" ht="16.5" customHeight="1" x14ac:dyDescent="0.25">
      <c r="A18" s="87"/>
      <c r="B18" s="86" t="s">
        <v>17</v>
      </c>
      <c r="C18" s="87" t="s">
        <v>112</v>
      </c>
      <c r="D18" s="87">
        <v>3682</v>
      </c>
      <c r="E18" s="86" t="s">
        <v>167</v>
      </c>
      <c r="F18" s="89">
        <v>45733</v>
      </c>
      <c r="G18" s="89">
        <v>45737</v>
      </c>
      <c r="H18" s="92">
        <v>0.33333333333333331</v>
      </c>
      <c r="I18" s="92"/>
      <c r="J18" s="89"/>
      <c r="K18" s="89"/>
      <c r="L18" s="89"/>
      <c r="M18" s="89"/>
      <c r="N18" s="89"/>
      <c r="O18" s="86" t="s">
        <v>241</v>
      </c>
      <c r="P18" s="86"/>
      <c r="Q18" s="91">
        <v>40</v>
      </c>
      <c r="R18" s="91">
        <v>5</v>
      </c>
      <c r="S18" s="91"/>
      <c r="T18" s="91"/>
      <c r="U18" s="87"/>
      <c r="V18" s="87"/>
      <c r="W18" s="91"/>
      <c r="X18" s="87"/>
      <c r="Y18" s="96">
        <f ca="1">Table29[[#This Row],[5/9/2025]]+2-TODAY()</f>
        <v>-79</v>
      </c>
      <c r="Z18" s="87">
        <f>IF(ISBLANK(Table29[[#This Row],[Roster Received By]]),1,0)</f>
        <v>1</v>
      </c>
      <c r="AA18" s="87">
        <f ca="1">IF(Table29[[#This Row],[5/5/2025]]&gt;TODAY(),1,)</f>
        <v>0</v>
      </c>
    </row>
    <row r="19" spans="1:27" s="93" customFormat="1" ht="16.5" customHeight="1" x14ac:dyDescent="0.25">
      <c r="A19" s="87"/>
      <c r="B19" s="86" t="s">
        <v>17</v>
      </c>
      <c r="C19" s="87" t="s">
        <v>112</v>
      </c>
      <c r="D19" s="87">
        <v>3682</v>
      </c>
      <c r="E19" s="86" t="s">
        <v>214</v>
      </c>
      <c r="F19" s="89">
        <v>45747</v>
      </c>
      <c r="G19" s="89">
        <v>45751</v>
      </c>
      <c r="H19" s="92">
        <v>0.33333333333333331</v>
      </c>
      <c r="I19" s="92"/>
      <c r="J19" s="89"/>
      <c r="K19" s="89"/>
      <c r="L19" s="89"/>
      <c r="M19" s="89"/>
      <c r="N19" s="89"/>
      <c r="O19" s="86" t="s">
        <v>241</v>
      </c>
      <c r="P19" s="86"/>
      <c r="Q19" s="91">
        <v>40</v>
      </c>
      <c r="R19" s="91">
        <v>5</v>
      </c>
      <c r="S19" s="91"/>
      <c r="T19" s="91"/>
      <c r="U19" s="87"/>
      <c r="V19" s="87"/>
      <c r="W19" s="91"/>
      <c r="X19" s="87"/>
      <c r="Y19" s="96">
        <f ca="1">Table29[[#This Row],[5/9/2025]]+2-TODAY()</f>
        <v>-65</v>
      </c>
      <c r="Z19" s="87">
        <f>IF(ISBLANK(Table29[[#This Row],[Roster Received By]]),1,0)</f>
        <v>1</v>
      </c>
      <c r="AA19" s="87">
        <f ca="1">IF(Table29[[#This Row],[5/5/2025]]&gt;TODAY(),1,)</f>
        <v>0</v>
      </c>
    </row>
    <row r="20" spans="1:27" s="93" customFormat="1" ht="16.5" customHeight="1" x14ac:dyDescent="0.25">
      <c r="A20" s="87" t="s">
        <v>501</v>
      </c>
      <c r="B20" s="86" t="s">
        <v>17</v>
      </c>
      <c r="C20" s="87" t="s">
        <v>112</v>
      </c>
      <c r="D20" s="87">
        <v>3682</v>
      </c>
      <c r="E20" s="86" t="s">
        <v>314</v>
      </c>
      <c r="F20" s="89">
        <v>45754</v>
      </c>
      <c r="G20" s="89">
        <v>45758</v>
      </c>
      <c r="H20" s="92">
        <v>0.33333333333333331</v>
      </c>
      <c r="I20" s="92"/>
      <c r="J20" s="89"/>
      <c r="K20" s="89"/>
      <c r="L20" s="89"/>
      <c r="M20" s="89"/>
      <c r="N20" s="89"/>
      <c r="O20" s="86" t="s">
        <v>241</v>
      </c>
      <c r="P20" s="86"/>
      <c r="Q20" s="91">
        <v>40</v>
      </c>
      <c r="R20" s="91">
        <v>5</v>
      </c>
      <c r="S20" s="91"/>
      <c r="T20" s="91"/>
      <c r="U20" s="87"/>
      <c r="V20" s="87"/>
      <c r="W20" s="91"/>
      <c r="X20" s="87"/>
      <c r="Y20" s="96">
        <f ca="1">Table29[[#This Row],[5/9/2025]]+2-TODAY()</f>
        <v>-58</v>
      </c>
      <c r="Z20" s="87">
        <f>IF(ISBLANK(Table29[[#This Row],[Roster Received By]]),1,0)</f>
        <v>1</v>
      </c>
      <c r="AA20" s="87">
        <f ca="1">IF(Table29[[#This Row],[5/5/2025]]&gt;TODAY(),1,)</f>
        <v>0</v>
      </c>
    </row>
    <row r="21" spans="1:27" s="93" customFormat="1" ht="16.5" customHeight="1" x14ac:dyDescent="0.25">
      <c r="A21" s="87"/>
      <c r="B21" s="86" t="s">
        <v>17</v>
      </c>
      <c r="C21" s="87" t="s">
        <v>112</v>
      </c>
      <c r="D21" s="87">
        <v>3682</v>
      </c>
      <c r="E21" s="86" t="s">
        <v>414</v>
      </c>
      <c r="F21" s="89">
        <v>45754</v>
      </c>
      <c r="G21" s="89">
        <v>45758</v>
      </c>
      <c r="H21" s="92">
        <v>0.33333333333333331</v>
      </c>
      <c r="I21" s="92"/>
      <c r="J21" s="89"/>
      <c r="K21" s="89"/>
      <c r="L21" s="89"/>
      <c r="M21" s="89"/>
      <c r="N21" s="89"/>
      <c r="O21" s="86" t="s">
        <v>241</v>
      </c>
      <c r="P21" s="86"/>
      <c r="Q21" s="91">
        <v>40</v>
      </c>
      <c r="R21" s="91">
        <v>5</v>
      </c>
      <c r="S21" s="91"/>
      <c r="T21" s="91"/>
      <c r="U21" s="87"/>
      <c r="V21" s="87"/>
      <c r="W21" s="91"/>
      <c r="X21" s="87"/>
      <c r="Y21" s="96">
        <f ca="1">Table29[[#This Row],[5/9/2025]]+2-TODAY()</f>
        <v>-58</v>
      </c>
      <c r="Z21" s="87">
        <f>IF(ISBLANK(Table29[[#This Row],[Roster Received By]]),1,0)</f>
        <v>1</v>
      </c>
      <c r="AA21" s="87">
        <f ca="1">IF(Table29[[#This Row],[5/5/2025]]&gt;TODAY(),1,)</f>
        <v>0</v>
      </c>
    </row>
    <row r="22" spans="1:27" s="93" customFormat="1" ht="16.5" customHeight="1" x14ac:dyDescent="0.25">
      <c r="A22" s="87"/>
      <c r="B22" s="86" t="s">
        <v>17</v>
      </c>
      <c r="C22" s="87" t="s">
        <v>112</v>
      </c>
      <c r="D22" s="87">
        <v>3682</v>
      </c>
      <c r="E22" s="86" t="s">
        <v>316</v>
      </c>
      <c r="F22" s="89">
        <v>45761</v>
      </c>
      <c r="G22" s="89">
        <v>45765</v>
      </c>
      <c r="H22" s="92">
        <v>0.33333333333333331</v>
      </c>
      <c r="I22" s="92"/>
      <c r="J22" s="89"/>
      <c r="K22" s="89"/>
      <c r="L22" s="89"/>
      <c r="M22" s="89"/>
      <c r="N22" s="89"/>
      <c r="O22" s="86" t="s">
        <v>241</v>
      </c>
      <c r="P22" s="86"/>
      <c r="Q22" s="91">
        <v>40</v>
      </c>
      <c r="R22" s="91">
        <v>5</v>
      </c>
      <c r="S22" s="91"/>
      <c r="T22" s="91"/>
      <c r="U22" s="87"/>
      <c r="V22" s="87"/>
      <c r="W22" s="91"/>
      <c r="X22" s="87"/>
      <c r="Y22" s="96">
        <f ca="1">Table29[[#This Row],[5/9/2025]]+2-TODAY()</f>
        <v>-51</v>
      </c>
      <c r="Z22" s="87">
        <f>IF(ISBLANK(Table29[[#This Row],[Roster Received By]]),1,0)</f>
        <v>1</v>
      </c>
      <c r="AA22" s="87">
        <f ca="1">IF(Table29[[#This Row],[5/5/2025]]&gt;TODAY(),1,)</f>
        <v>0</v>
      </c>
    </row>
    <row r="23" spans="1:27" s="93" customFormat="1" ht="14.25" customHeight="1" x14ac:dyDescent="0.25">
      <c r="A23" s="87" t="s">
        <v>502</v>
      </c>
      <c r="B23" s="86" t="s">
        <v>17</v>
      </c>
      <c r="C23" s="87" t="s">
        <v>112</v>
      </c>
      <c r="D23" s="87">
        <v>3682</v>
      </c>
      <c r="E23" s="86" t="s">
        <v>179</v>
      </c>
      <c r="F23" s="89">
        <v>45768</v>
      </c>
      <c r="G23" s="89">
        <v>45772</v>
      </c>
      <c r="H23" s="92">
        <v>0.33333333333333331</v>
      </c>
      <c r="I23" s="92"/>
      <c r="J23" s="89"/>
      <c r="K23" s="89"/>
      <c r="L23" s="89"/>
      <c r="M23" s="89"/>
      <c r="N23" s="89"/>
      <c r="O23" s="86" t="s">
        <v>241</v>
      </c>
      <c r="P23" s="86"/>
      <c r="Q23" s="91">
        <v>40</v>
      </c>
      <c r="R23" s="91">
        <v>5</v>
      </c>
      <c r="S23" s="91"/>
      <c r="T23" s="91"/>
      <c r="U23" s="87"/>
      <c r="V23" s="87"/>
      <c r="W23" s="91"/>
      <c r="X23" s="87"/>
      <c r="Y23" s="96">
        <f ca="1">Table29[[#This Row],[5/9/2025]]+2-TODAY()</f>
        <v>-44</v>
      </c>
      <c r="Z23" s="87">
        <f>IF(ISBLANK(Table29[[#This Row],[Roster Received By]]),1,0)</f>
        <v>1</v>
      </c>
      <c r="AA23" s="87">
        <f ca="1">IF(Table29[[#This Row],[5/5/2025]]&gt;TODAY(),1,)</f>
        <v>0</v>
      </c>
    </row>
    <row r="24" spans="1:27" s="93" customFormat="1" ht="14.25" customHeight="1" x14ac:dyDescent="0.25">
      <c r="A24" s="87"/>
      <c r="B24" s="86" t="s">
        <v>17</v>
      </c>
      <c r="C24" s="87" t="s">
        <v>112</v>
      </c>
      <c r="D24" s="87">
        <v>3682</v>
      </c>
      <c r="E24" s="86" t="s">
        <v>157</v>
      </c>
      <c r="F24" s="89">
        <v>45796</v>
      </c>
      <c r="G24" s="89">
        <v>45800</v>
      </c>
      <c r="H24" s="92">
        <v>0.33333333333333331</v>
      </c>
      <c r="I24" s="92"/>
      <c r="J24" s="89"/>
      <c r="K24" s="89"/>
      <c r="L24" s="89"/>
      <c r="M24" s="89"/>
      <c r="N24" s="89"/>
      <c r="O24" s="86" t="s">
        <v>241</v>
      </c>
      <c r="P24" s="86"/>
      <c r="Q24" s="91">
        <v>40</v>
      </c>
      <c r="R24" s="91">
        <v>5</v>
      </c>
      <c r="S24" s="91"/>
      <c r="T24" s="91"/>
      <c r="U24" s="87"/>
      <c r="V24" s="87"/>
      <c r="W24" s="91"/>
      <c r="X24" s="87"/>
      <c r="Y24" s="96">
        <f ca="1">Table29[[#This Row],[5/9/2025]]+2-TODAY()</f>
        <v>-16</v>
      </c>
      <c r="Z24" s="87">
        <f>IF(ISBLANK(Table29[[#This Row],[Roster Received By]]),1,0)</f>
        <v>1</v>
      </c>
      <c r="AA24" s="87">
        <f ca="1">IF(Table29[[#This Row],[5/5/2025]]&gt;TODAY(),1,)</f>
        <v>0</v>
      </c>
    </row>
    <row r="25" spans="1:27" s="93" customFormat="1" ht="16.5" customHeight="1" x14ac:dyDescent="0.25">
      <c r="A25" s="87"/>
      <c r="B25" s="86" t="s">
        <v>17</v>
      </c>
      <c r="C25" s="87" t="s">
        <v>112</v>
      </c>
      <c r="D25" s="87">
        <v>3682</v>
      </c>
      <c r="E25" s="86" t="s">
        <v>276</v>
      </c>
      <c r="F25" s="89">
        <v>45817</v>
      </c>
      <c r="G25" s="89">
        <v>45913</v>
      </c>
      <c r="H25" s="92">
        <v>0.33333333333333331</v>
      </c>
      <c r="I25" s="92"/>
      <c r="J25" s="89"/>
      <c r="K25" s="89"/>
      <c r="L25" s="89"/>
      <c r="M25" s="89"/>
      <c r="N25" s="89"/>
      <c r="O25" s="86" t="s">
        <v>241</v>
      </c>
      <c r="P25" s="86"/>
      <c r="Q25" s="91">
        <v>40</v>
      </c>
      <c r="R25" s="91">
        <v>5</v>
      </c>
      <c r="S25" s="91"/>
      <c r="T25" s="91"/>
      <c r="U25" s="87"/>
      <c r="V25" s="87"/>
      <c r="W25" s="91"/>
      <c r="X25" s="87"/>
      <c r="Y25" s="96">
        <f ca="1">Table29[[#This Row],[5/9/2025]]+2-TODAY()</f>
        <v>97</v>
      </c>
      <c r="Z25" s="87">
        <f>IF(ISBLANK(Table29[[#This Row],[Roster Received By]]),1,0)</f>
        <v>1</v>
      </c>
      <c r="AA25" s="87">
        <f ca="1">IF(Table29[[#This Row],[5/5/2025]]&gt;TODAY(),1,)</f>
        <v>0</v>
      </c>
    </row>
    <row r="26" spans="1:27" s="93" customFormat="1" ht="16.5" customHeight="1" x14ac:dyDescent="0.25">
      <c r="A26" s="87"/>
      <c r="B26" s="86" t="s">
        <v>17</v>
      </c>
      <c r="C26" s="87" t="s">
        <v>112</v>
      </c>
      <c r="D26" s="87">
        <v>3682</v>
      </c>
      <c r="E26" s="86" t="s">
        <v>300</v>
      </c>
      <c r="F26" s="89">
        <v>45817</v>
      </c>
      <c r="G26" s="89">
        <v>45821</v>
      </c>
      <c r="H26" s="92">
        <v>0.33333333333333331</v>
      </c>
      <c r="I26" s="92"/>
      <c r="J26" s="89"/>
      <c r="K26" s="89"/>
      <c r="L26" s="89"/>
      <c r="M26" s="89"/>
      <c r="N26" s="89"/>
      <c r="O26" s="86" t="s">
        <v>241</v>
      </c>
      <c r="P26" s="86"/>
      <c r="Q26" s="91">
        <v>40</v>
      </c>
      <c r="R26" s="91">
        <v>5</v>
      </c>
      <c r="S26" s="91"/>
      <c r="T26" s="91"/>
      <c r="U26" s="87"/>
      <c r="V26" s="87"/>
      <c r="W26" s="91"/>
      <c r="X26" s="87"/>
      <c r="Y26" s="96">
        <f ca="1">Table29[[#This Row],[5/9/2025]]+2-TODAY()</f>
        <v>5</v>
      </c>
      <c r="Z26" s="87">
        <f>IF(ISBLANK(Table29[[#This Row],[Roster Received By]]),1,0)</f>
        <v>1</v>
      </c>
      <c r="AA26" s="87">
        <f ca="1">IF(Table29[[#This Row],[5/5/2025]]&gt;TODAY(),1,)</f>
        <v>0</v>
      </c>
    </row>
    <row r="27" spans="1:27" s="93" customFormat="1" ht="16.5" customHeight="1" x14ac:dyDescent="0.25">
      <c r="A27" s="87"/>
      <c r="B27" s="86" t="s">
        <v>17</v>
      </c>
      <c r="C27" s="87" t="s">
        <v>112</v>
      </c>
      <c r="D27" s="87">
        <v>3682</v>
      </c>
      <c r="E27" s="86" t="s">
        <v>250</v>
      </c>
      <c r="F27" s="89">
        <v>45873</v>
      </c>
      <c r="G27" s="89">
        <v>45877</v>
      </c>
      <c r="H27" s="92">
        <v>0.33333333333333331</v>
      </c>
      <c r="I27" s="92"/>
      <c r="J27" s="89"/>
      <c r="K27" s="89"/>
      <c r="L27" s="89"/>
      <c r="M27" s="89"/>
      <c r="N27" s="89"/>
      <c r="O27" s="86" t="s">
        <v>241</v>
      </c>
      <c r="P27" s="86"/>
      <c r="Q27" s="91">
        <v>40</v>
      </c>
      <c r="R27" s="91">
        <v>5</v>
      </c>
      <c r="S27" s="91"/>
      <c r="T27" s="91"/>
      <c r="U27" s="87"/>
      <c r="V27" s="87"/>
      <c r="W27" s="91"/>
      <c r="X27" s="87"/>
      <c r="Y27" s="96">
        <f ca="1">Table29[[#This Row],[5/9/2025]]+2-TODAY()</f>
        <v>61</v>
      </c>
      <c r="Z27" s="87">
        <f>IF(ISBLANK(Table29[[#This Row],[Roster Received By]]),1,0)</f>
        <v>1</v>
      </c>
      <c r="AA27" s="87">
        <f ca="1">IF(Table29[[#This Row],[5/5/2025]]&gt;TODAY(),1,)</f>
        <v>1</v>
      </c>
    </row>
    <row r="28" spans="1:27" s="93" customFormat="1" ht="14.25" customHeight="1" x14ac:dyDescent="0.25">
      <c r="A28" s="87"/>
      <c r="B28" s="86" t="s">
        <v>17</v>
      </c>
      <c r="C28" s="87" t="s">
        <v>112</v>
      </c>
      <c r="D28" s="87">
        <v>3682</v>
      </c>
      <c r="E28" s="86" t="s">
        <v>404</v>
      </c>
      <c r="F28" s="89">
        <v>45873</v>
      </c>
      <c r="G28" s="89">
        <v>45877</v>
      </c>
      <c r="H28" s="92">
        <v>0.33333333333333331</v>
      </c>
      <c r="I28" s="92"/>
      <c r="J28" s="89"/>
      <c r="K28" s="89"/>
      <c r="L28" s="89"/>
      <c r="M28" s="89"/>
      <c r="N28" s="89"/>
      <c r="O28" s="86" t="s">
        <v>241</v>
      </c>
      <c r="P28" s="86"/>
      <c r="Q28" s="91">
        <v>40</v>
      </c>
      <c r="R28" s="91">
        <v>5</v>
      </c>
      <c r="S28" s="91"/>
      <c r="T28" s="91"/>
      <c r="U28" s="87"/>
      <c r="V28" s="87"/>
      <c r="W28" s="91"/>
      <c r="X28" s="87"/>
      <c r="Y28" s="96">
        <f ca="1">Table29[[#This Row],[5/9/2025]]+2-TODAY()</f>
        <v>61</v>
      </c>
      <c r="Z28" s="87">
        <f>IF(ISBLANK(Table29[[#This Row],[Roster Received By]]),1,0)</f>
        <v>1</v>
      </c>
      <c r="AA28" s="87">
        <f ca="1">IF(Table29[[#This Row],[5/5/2025]]&gt;TODAY(),1,)</f>
        <v>1</v>
      </c>
    </row>
    <row r="29" spans="1:27" s="93" customFormat="1" ht="14.25" customHeight="1" x14ac:dyDescent="0.25">
      <c r="A29" s="87" t="s">
        <v>357</v>
      </c>
      <c r="B29" s="86" t="s">
        <v>17</v>
      </c>
      <c r="C29" s="87" t="s">
        <v>112</v>
      </c>
      <c r="D29" s="87">
        <v>3682</v>
      </c>
      <c r="E29" s="86" t="s">
        <v>291</v>
      </c>
      <c r="F29" s="89">
        <v>45880</v>
      </c>
      <c r="G29" s="89">
        <v>45884</v>
      </c>
      <c r="H29" s="92">
        <v>0.33333333333333331</v>
      </c>
      <c r="I29" s="92"/>
      <c r="J29" s="89"/>
      <c r="K29" s="89"/>
      <c r="L29" s="89"/>
      <c r="M29" s="89"/>
      <c r="N29" s="89"/>
      <c r="O29" s="86" t="s">
        <v>241</v>
      </c>
      <c r="P29" s="86"/>
      <c r="Q29" s="91">
        <v>40</v>
      </c>
      <c r="R29" s="91">
        <v>5</v>
      </c>
      <c r="S29" s="91"/>
      <c r="T29" s="91"/>
      <c r="U29" s="87"/>
      <c r="V29" s="87"/>
      <c r="W29" s="91"/>
      <c r="X29" s="87"/>
      <c r="Y29" s="96">
        <f ca="1">Table29[[#This Row],[5/9/2025]]+2-TODAY()</f>
        <v>68</v>
      </c>
      <c r="Z29" s="87">
        <f>IF(ISBLANK(Table29[[#This Row],[Roster Received By]]),1,0)</f>
        <v>1</v>
      </c>
      <c r="AA29" s="87">
        <f ca="1">IF(Table29[[#This Row],[5/5/2025]]&gt;TODAY(),1,)</f>
        <v>1</v>
      </c>
    </row>
    <row r="30" spans="1:27" s="93" customFormat="1" ht="14.25" customHeight="1" x14ac:dyDescent="0.25">
      <c r="A30" s="87"/>
      <c r="B30" s="86" t="s">
        <v>17</v>
      </c>
      <c r="C30" s="87" t="s">
        <v>112</v>
      </c>
      <c r="D30" s="87">
        <v>3682</v>
      </c>
      <c r="E30" s="86" t="s">
        <v>172</v>
      </c>
      <c r="F30" s="89">
        <v>45894</v>
      </c>
      <c r="G30" s="89">
        <v>45898</v>
      </c>
      <c r="H30" s="92">
        <v>0.33333333333333331</v>
      </c>
      <c r="I30" s="92"/>
      <c r="J30" s="89"/>
      <c r="K30" s="89"/>
      <c r="L30" s="89"/>
      <c r="M30" s="89"/>
      <c r="N30" s="89"/>
      <c r="O30" s="86" t="s">
        <v>241</v>
      </c>
      <c r="P30" s="86"/>
      <c r="Q30" s="91">
        <v>40</v>
      </c>
      <c r="R30" s="91">
        <v>5</v>
      </c>
      <c r="S30" s="91"/>
      <c r="T30" s="91"/>
      <c r="U30" s="87"/>
      <c r="V30" s="87"/>
      <c r="W30" s="91"/>
      <c r="X30" s="87"/>
      <c r="Y30" s="96">
        <f ca="1">Table29[[#This Row],[5/9/2025]]+2-TODAY()</f>
        <v>82</v>
      </c>
      <c r="Z30" s="87">
        <f>IF(ISBLANK(Table29[[#This Row],[Roster Received By]]),1,0)</f>
        <v>1</v>
      </c>
      <c r="AA30" s="87">
        <f ca="1">IF(Table29[[#This Row],[5/5/2025]]&gt;TODAY(),1,)</f>
        <v>1</v>
      </c>
    </row>
    <row r="31" spans="1:27" s="126" customFormat="1" ht="14.25" customHeight="1" x14ac:dyDescent="0.25">
      <c r="A31" s="87"/>
      <c r="B31" s="86" t="s">
        <v>17</v>
      </c>
      <c r="C31" s="87" t="s">
        <v>112</v>
      </c>
      <c r="D31" s="87">
        <v>3682</v>
      </c>
      <c r="E31" s="86" t="s">
        <v>294</v>
      </c>
      <c r="F31" s="89">
        <v>45908</v>
      </c>
      <c r="G31" s="89">
        <v>45912</v>
      </c>
      <c r="H31" s="92">
        <v>0.33333333333333331</v>
      </c>
      <c r="I31" s="92"/>
      <c r="J31" s="89"/>
      <c r="K31" s="89"/>
      <c r="L31" s="89"/>
      <c r="M31" s="89"/>
      <c r="N31" s="89"/>
      <c r="O31" s="86" t="s">
        <v>241</v>
      </c>
      <c r="P31" s="86"/>
      <c r="Q31" s="91">
        <v>40</v>
      </c>
      <c r="R31" s="91">
        <v>5</v>
      </c>
      <c r="S31" s="91"/>
      <c r="T31" s="91"/>
      <c r="U31" s="87"/>
      <c r="V31" s="87"/>
      <c r="W31" s="91"/>
      <c r="X31" s="87"/>
      <c r="Y31" s="96">
        <f ca="1">Table29[[#This Row],[5/9/2025]]+2-TODAY()</f>
        <v>96</v>
      </c>
      <c r="Z31" s="87">
        <f>IF(ISBLANK(Table29[[#This Row],[Roster Received By]]),1,0)</f>
        <v>1</v>
      </c>
      <c r="AA31" s="87">
        <f ca="1">IF(Table29[[#This Row],[5/5/2025]]&gt;TODAY(),1,)</f>
        <v>1</v>
      </c>
    </row>
    <row r="32" spans="1:27" s="122" customFormat="1" ht="14.25" customHeight="1" x14ac:dyDescent="0.25">
      <c r="A32" s="87" t="s">
        <v>503</v>
      </c>
      <c r="B32" s="86" t="s">
        <v>17</v>
      </c>
      <c r="C32" s="87" t="s">
        <v>112</v>
      </c>
      <c r="D32" s="87">
        <v>3682</v>
      </c>
      <c r="E32" s="86" t="s">
        <v>326</v>
      </c>
      <c r="F32" s="89">
        <v>45922</v>
      </c>
      <c r="G32" s="89">
        <v>45926</v>
      </c>
      <c r="H32" s="92">
        <v>0.33333333333333331</v>
      </c>
      <c r="I32" s="92"/>
      <c r="J32" s="89"/>
      <c r="K32" s="89"/>
      <c r="L32" s="89"/>
      <c r="M32" s="89"/>
      <c r="N32" s="89"/>
      <c r="O32" s="86" t="s">
        <v>241</v>
      </c>
      <c r="P32" s="86"/>
      <c r="Q32" s="91">
        <v>40</v>
      </c>
      <c r="R32" s="91">
        <v>5</v>
      </c>
      <c r="S32" s="91"/>
      <c r="T32" s="91"/>
      <c r="U32" s="87"/>
      <c r="V32" s="87"/>
      <c r="W32" s="91"/>
      <c r="X32" s="87"/>
      <c r="Y32" s="96">
        <f ca="1">Table29[[#This Row],[5/9/2025]]+2-TODAY()</f>
        <v>110</v>
      </c>
      <c r="Z32" s="87">
        <f>IF(ISBLANK(Table29[[#This Row],[Roster Received By]]),1,0)</f>
        <v>1</v>
      </c>
      <c r="AA32" s="87">
        <f ca="1">IF(Table29[[#This Row],[5/5/2025]]&gt;TODAY(),1,)</f>
        <v>1</v>
      </c>
    </row>
    <row r="33" spans="1:27" s="122" customFormat="1" ht="14.25" customHeight="1" x14ac:dyDescent="0.25">
      <c r="A33" s="87"/>
      <c r="B33" s="86" t="s">
        <v>17</v>
      </c>
      <c r="C33" s="87" t="s">
        <v>112</v>
      </c>
      <c r="D33" s="87">
        <v>3682</v>
      </c>
      <c r="E33" s="86" t="s">
        <v>250</v>
      </c>
      <c r="F33" s="89" t="s">
        <v>504</v>
      </c>
      <c r="G33" s="89">
        <v>45835</v>
      </c>
      <c r="H33" s="92">
        <v>0.33333333333333331</v>
      </c>
      <c r="I33" s="92"/>
      <c r="J33" s="89"/>
      <c r="K33" s="89"/>
      <c r="L33" s="89"/>
      <c r="M33" s="89"/>
      <c r="N33" s="89"/>
      <c r="O33" s="86" t="s">
        <v>241</v>
      </c>
      <c r="P33" s="86"/>
      <c r="Q33" s="91">
        <v>40</v>
      </c>
      <c r="R33" s="91">
        <v>5</v>
      </c>
      <c r="S33" s="91"/>
      <c r="T33" s="91"/>
      <c r="U33" s="87"/>
      <c r="V33" s="87"/>
      <c r="W33" s="91"/>
      <c r="X33" s="87"/>
      <c r="Y33" s="96">
        <f ca="1">Table29[[#This Row],[5/9/2025]]+2-TODAY()</f>
        <v>19</v>
      </c>
      <c r="Z33" s="87">
        <f>IF(ISBLANK(Table29[[#This Row],[Roster Received By]]),1,0)</f>
        <v>1</v>
      </c>
      <c r="AA33" s="87">
        <f ca="1">IF(Table29[[#This Row],[5/5/2025]]&gt;TODAY(),1,)</f>
        <v>1</v>
      </c>
    </row>
    <row r="34" spans="1:27" s="93" customFormat="1" ht="14.25" customHeight="1" x14ac:dyDescent="0.25">
      <c r="A34" s="223" t="s">
        <v>505</v>
      </c>
      <c r="B34" s="220" t="s">
        <v>17</v>
      </c>
      <c r="C34" s="87" t="s">
        <v>112</v>
      </c>
      <c r="D34" s="87">
        <v>3682</v>
      </c>
      <c r="E34" s="86" t="s">
        <v>401</v>
      </c>
      <c r="F34" s="89">
        <v>45733</v>
      </c>
      <c r="G34" s="89">
        <v>45737</v>
      </c>
      <c r="H34" s="92">
        <v>0.33333333333333331</v>
      </c>
      <c r="I34" s="92"/>
      <c r="J34" s="89"/>
      <c r="K34" s="89"/>
      <c r="L34" s="89"/>
      <c r="M34" s="89"/>
      <c r="N34" s="89"/>
      <c r="O34" s="86" t="s">
        <v>241</v>
      </c>
      <c r="P34" s="86"/>
      <c r="Q34" s="91">
        <v>40</v>
      </c>
      <c r="R34" s="91">
        <v>5</v>
      </c>
      <c r="S34" s="91"/>
      <c r="T34" s="91"/>
      <c r="U34" s="87"/>
      <c r="V34" s="87"/>
      <c r="W34" s="91"/>
      <c r="X34" s="87"/>
      <c r="Y34" s="96">
        <f ca="1">Table29[[#This Row],[5/9/2025]]+2-TODAY()</f>
        <v>-79</v>
      </c>
      <c r="Z34" s="87">
        <f>IF(ISBLANK(Table29[[#This Row],[Roster Received By]]),1,0)</f>
        <v>1</v>
      </c>
      <c r="AA34" s="87">
        <f ca="1">IF(Table29[[#This Row],[5/5/2025]]&gt;TODAY(),1,)</f>
        <v>0</v>
      </c>
    </row>
    <row r="35" spans="1:27" s="93" customFormat="1" ht="14.25" customHeight="1" x14ac:dyDescent="0.25">
      <c r="A35" s="223" t="s">
        <v>506</v>
      </c>
      <c r="B35" s="220" t="s">
        <v>17</v>
      </c>
      <c r="C35" s="87" t="s">
        <v>112</v>
      </c>
      <c r="D35" s="87">
        <v>3682</v>
      </c>
      <c r="E35" s="86" t="s">
        <v>409</v>
      </c>
      <c r="F35" s="89">
        <v>45849</v>
      </c>
      <c r="G35" s="89">
        <v>45853</v>
      </c>
      <c r="H35" s="92">
        <v>0.33333333333333331</v>
      </c>
      <c r="I35" s="92"/>
      <c r="J35" s="89"/>
      <c r="K35" s="89"/>
      <c r="L35" s="89"/>
      <c r="M35" s="89"/>
      <c r="N35" s="89"/>
      <c r="O35" s="86" t="s">
        <v>241</v>
      </c>
      <c r="P35" s="86"/>
      <c r="Q35" s="91">
        <v>40</v>
      </c>
      <c r="R35" s="91">
        <v>5</v>
      </c>
      <c r="S35" s="91"/>
      <c r="T35" s="91"/>
      <c r="U35" s="87"/>
      <c r="V35" s="87"/>
      <c r="W35" s="91"/>
      <c r="X35" s="87"/>
      <c r="Y35" s="96">
        <f ca="1">Table29[[#This Row],[5/9/2025]]+2-TODAY()</f>
        <v>37</v>
      </c>
      <c r="Z35" s="87">
        <f>IF(ISBLANK(Table29[[#This Row],[Roster Received By]]),1,0)</f>
        <v>1</v>
      </c>
      <c r="AA35" s="87">
        <f ca="1">IF(Table29[[#This Row],[5/5/2025]]&gt;TODAY(),1,)</f>
        <v>1</v>
      </c>
    </row>
    <row r="36" spans="1:27" s="93" customFormat="1" ht="14.25" customHeight="1" x14ac:dyDescent="0.25">
      <c r="A36" s="223" t="s">
        <v>507</v>
      </c>
      <c r="B36" s="220" t="s">
        <v>17</v>
      </c>
      <c r="C36" s="87" t="s">
        <v>112</v>
      </c>
      <c r="D36" s="87">
        <v>3682</v>
      </c>
      <c r="E36" s="86" t="s">
        <v>416</v>
      </c>
      <c r="F36" s="89">
        <v>45859</v>
      </c>
      <c r="G36" s="89">
        <v>45863</v>
      </c>
      <c r="H36" s="92">
        <v>0.33333333333333331</v>
      </c>
      <c r="I36" s="92"/>
      <c r="J36" s="89"/>
      <c r="K36" s="89"/>
      <c r="L36" s="89"/>
      <c r="M36" s="89"/>
      <c r="N36" s="89"/>
      <c r="O36" s="86" t="s">
        <v>241</v>
      </c>
      <c r="P36" s="86"/>
      <c r="Q36" s="91">
        <v>40</v>
      </c>
      <c r="R36" s="91">
        <v>5</v>
      </c>
      <c r="S36" s="91"/>
      <c r="T36" s="91"/>
      <c r="U36" s="87"/>
      <c r="V36" s="87"/>
      <c r="W36" s="91"/>
      <c r="X36" s="87"/>
      <c r="Y36" s="96">
        <f ca="1">Table29[[#This Row],[5/9/2025]]+2-TODAY()</f>
        <v>47</v>
      </c>
      <c r="Z36" s="87">
        <f>IF(ISBLANK(Table29[[#This Row],[Roster Received By]]),1,0)</f>
        <v>1</v>
      </c>
      <c r="AA36" s="87">
        <f ca="1">IF(Table29[[#This Row],[5/5/2025]]&gt;TODAY(),1,)</f>
        <v>1</v>
      </c>
    </row>
    <row r="37" spans="1:27" s="93" customFormat="1" ht="14.25" customHeight="1" x14ac:dyDescent="0.25">
      <c r="A37" s="223" t="s">
        <v>508</v>
      </c>
      <c r="B37" s="220" t="s">
        <v>17</v>
      </c>
      <c r="C37" s="87" t="s">
        <v>112</v>
      </c>
      <c r="D37" s="87">
        <v>3682</v>
      </c>
      <c r="E37" s="86" t="s">
        <v>333</v>
      </c>
      <c r="F37" s="89">
        <v>45663</v>
      </c>
      <c r="G37" s="89">
        <v>45667</v>
      </c>
      <c r="H37" s="92">
        <v>0.33333333333333331</v>
      </c>
      <c r="I37" s="92"/>
      <c r="J37" s="89"/>
      <c r="K37" s="89"/>
      <c r="L37" s="89"/>
      <c r="M37" s="89"/>
      <c r="N37" s="89"/>
      <c r="O37" s="86" t="s">
        <v>241</v>
      </c>
      <c r="P37" s="86"/>
      <c r="Q37" s="91">
        <v>40</v>
      </c>
      <c r="R37" s="91">
        <v>5</v>
      </c>
      <c r="S37" s="91"/>
      <c r="T37" s="91"/>
      <c r="U37" s="87"/>
      <c r="V37" s="87"/>
      <c r="W37" s="91"/>
      <c r="X37" s="87"/>
      <c r="Y37" s="96">
        <f ca="1">Table29[[#This Row],[5/9/2025]]+2-TODAY()</f>
        <v>-149</v>
      </c>
      <c r="Z37" s="87">
        <f>IF(ISBLANK(Table29[[#This Row],[Roster Received By]]),1,0)</f>
        <v>1</v>
      </c>
      <c r="AA37" s="87">
        <f ca="1">IF(Table29[[#This Row],[5/5/2025]]&gt;TODAY(),1,)</f>
        <v>0</v>
      </c>
    </row>
    <row r="38" spans="1:27" s="93" customFormat="1" ht="14.25" customHeight="1" x14ac:dyDescent="0.25">
      <c r="A38" s="223" t="s">
        <v>509</v>
      </c>
      <c r="B38" s="220" t="s">
        <v>17</v>
      </c>
      <c r="C38" s="87" t="s">
        <v>112</v>
      </c>
      <c r="D38" s="87">
        <v>3682</v>
      </c>
      <c r="E38" s="86" t="s">
        <v>257</v>
      </c>
      <c r="F38" s="89">
        <v>45740</v>
      </c>
      <c r="G38" s="89">
        <v>45744</v>
      </c>
      <c r="H38" s="92">
        <v>0.33333333333333331</v>
      </c>
      <c r="I38" s="92"/>
      <c r="J38" s="89"/>
      <c r="K38" s="89"/>
      <c r="L38" s="89"/>
      <c r="M38" s="89"/>
      <c r="N38" s="89"/>
      <c r="O38" s="86" t="s">
        <v>241</v>
      </c>
      <c r="P38" s="86"/>
      <c r="Q38" s="91">
        <v>40</v>
      </c>
      <c r="R38" s="91">
        <v>5</v>
      </c>
      <c r="S38" s="91"/>
      <c r="T38" s="91"/>
      <c r="U38" s="87"/>
      <c r="V38" s="87"/>
      <c r="W38" s="91"/>
      <c r="X38" s="87"/>
      <c r="Y38" s="96">
        <f ca="1">Table29[[#This Row],[5/9/2025]]+2-TODAY()</f>
        <v>-72</v>
      </c>
      <c r="Z38" s="87">
        <f>IF(ISBLANK(Table29[[#This Row],[Roster Received By]]),1,0)</f>
        <v>1</v>
      </c>
      <c r="AA38" s="87">
        <f ca="1">IF(Table29[[#This Row],[5/5/2025]]&gt;TODAY(),1,)</f>
        <v>0</v>
      </c>
    </row>
    <row r="39" spans="1:27" s="93" customFormat="1" ht="16.5" customHeight="1" x14ac:dyDescent="0.25">
      <c r="A39" s="87" t="s">
        <v>446</v>
      </c>
      <c r="B39" s="86" t="s">
        <v>17</v>
      </c>
      <c r="C39" s="87" t="s">
        <v>112</v>
      </c>
      <c r="D39" s="87">
        <v>3682</v>
      </c>
      <c r="E39" s="86" t="s">
        <v>159</v>
      </c>
      <c r="F39" s="89">
        <v>45887</v>
      </c>
      <c r="G39" s="89">
        <v>45891</v>
      </c>
      <c r="H39" s="92">
        <v>0.33333333333333331</v>
      </c>
      <c r="I39" s="92"/>
      <c r="J39" s="89"/>
      <c r="K39" s="89"/>
      <c r="L39" s="89"/>
      <c r="M39" s="89"/>
      <c r="N39" s="89"/>
      <c r="O39" s="86" t="s">
        <v>241</v>
      </c>
      <c r="P39" s="86"/>
      <c r="Q39" s="91">
        <v>40</v>
      </c>
      <c r="R39" s="91">
        <v>5</v>
      </c>
      <c r="S39" s="91"/>
      <c r="T39" s="91"/>
      <c r="U39" s="87"/>
      <c r="V39" s="87"/>
      <c r="W39" s="91"/>
      <c r="X39" s="87"/>
      <c r="Y39" s="96">
        <f ca="1">Table29[[#This Row],[5/9/2025]]+2-TODAY()</f>
        <v>75</v>
      </c>
      <c r="Z39" s="87">
        <f>IF(ISBLANK(Table29[[#This Row],[Roster Received By]]),1,0)</f>
        <v>1</v>
      </c>
      <c r="AA39" s="87">
        <f ca="1">IF(Table29[[#This Row],[5/5/2025]]&gt;TODAY(),1,)</f>
        <v>1</v>
      </c>
    </row>
    <row r="40" spans="1:27" s="93" customFormat="1" ht="16.5" customHeight="1" x14ac:dyDescent="0.25">
      <c r="A40" s="52" t="s">
        <v>510</v>
      </c>
      <c r="B40" s="86" t="s">
        <v>28</v>
      </c>
      <c r="C40" s="87" t="s">
        <v>113</v>
      </c>
      <c r="D40" s="87">
        <v>3683</v>
      </c>
      <c r="E40" s="86" t="s">
        <v>230</v>
      </c>
      <c r="F40" s="97">
        <v>45685</v>
      </c>
      <c r="G40" s="97">
        <v>45687</v>
      </c>
      <c r="H40" s="92">
        <v>0.33333333333333331</v>
      </c>
      <c r="I40" s="92"/>
      <c r="J40" s="89"/>
      <c r="K40" s="89"/>
      <c r="L40" s="89"/>
      <c r="M40" s="89"/>
      <c r="N40" s="89"/>
      <c r="O40" s="86" t="s">
        <v>241</v>
      </c>
      <c r="P40" s="86"/>
      <c r="Q40" s="90">
        <v>40</v>
      </c>
      <c r="R40" s="91">
        <v>3</v>
      </c>
      <c r="S40" s="90"/>
      <c r="T40" s="90"/>
      <c r="U40" s="14"/>
      <c r="V40" s="14"/>
      <c r="W40" s="14"/>
      <c r="X40" s="52"/>
      <c r="Y40" s="59">
        <f ca="1">Table29[[#This Row],[5/9/2025]]+2-TODAY()</f>
        <v>-129</v>
      </c>
      <c r="Z40" s="14">
        <f>IF(ISBLANK(Table29[[#This Row],[Roster Received By]]),1,0)</f>
        <v>1</v>
      </c>
      <c r="AA40" s="14">
        <f ca="1">IF(Table29[[#This Row],[5/5/2025]]&gt;TODAY(),1,)</f>
        <v>0</v>
      </c>
    </row>
    <row r="41" spans="1:27" s="93" customFormat="1" ht="14.25" customHeight="1" x14ac:dyDescent="0.25">
      <c r="A41" s="87" t="s">
        <v>511</v>
      </c>
      <c r="B41" s="86" t="s">
        <v>28</v>
      </c>
      <c r="C41" s="87" t="s">
        <v>113</v>
      </c>
      <c r="D41" s="87">
        <v>3683</v>
      </c>
      <c r="E41" s="86" t="s">
        <v>414</v>
      </c>
      <c r="F41" s="89">
        <v>45761</v>
      </c>
      <c r="G41" s="89">
        <v>45763</v>
      </c>
      <c r="H41" s="92">
        <v>0.33333333333333331</v>
      </c>
      <c r="I41" s="92"/>
      <c r="J41" s="89"/>
      <c r="K41" s="89"/>
      <c r="L41" s="89"/>
      <c r="M41" s="89"/>
      <c r="N41" s="89"/>
      <c r="O41" s="86" t="s">
        <v>241</v>
      </c>
      <c r="P41" s="86"/>
      <c r="Q41" s="91">
        <v>40</v>
      </c>
      <c r="R41" s="91">
        <v>3</v>
      </c>
      <c r="S41" s="91"/>
      <c r="T41" s="91"/>
      <c r="U41" s="87"/>
      <c r="V41" s="87"/>
      <c r="W41" s="91"/>
      <c r="X41" s="87"/>
      <c r="Y41" s="96">
        <f ca="1">Table29[[#This Row],[5/9/2025]]+2-TODAY()</f>
        <v>-53</v>
      </c>
      <c r="Z41" s="87">
        <f>IF(ISBLANK(Table29[[#This Row],[Roster Received By]]),1,0)</f>
        <v>1</v>
      </c>
      <c r="AA41" s="87">
        <f ca="1">IF(Table29[[#This Row],[5/5/2025]]&gt;TODAY(),1,)</f>
        <v>0</v>
      </c>
    </row>
    <row r="42" spans="1:27" s="93" customFormat="1" ht="14.25" customHeight="1" x14ac:dyDescent="0.25">
      <c r="A42" s="87"/>
      <c r="B42" s="86" t="s">
        <v>28</v>
      </c>
      <c r="C42" s="87" t="s">
        <v>113</v>
      </c>
      <c r="D42" s="87">
        <v>3683</v>
      </c>
      <c r="E42" s="86" t="s">
        <v>398</v>
      </c>
      <c r="F42" s="89">
        <v>45769</v>
      </c>
      <c r="G42" s="89">
        <v>45771</v>
      </c>
      <c r="H42" s="92">
        <v>0.33333333333333331</v>
      </c>
      <c r="I42" s="92"/>
      <c r="J42" s="89"/>
      <c r="K42" s="89"/>
      <c r="L42" s="89"/>
      <c r="M42" s="89"/>
      <c r="N42" s="89"/>
      <c r="O42" s="86" t="s">
        <v>241</v>
      </c>
      <c r="P42" s="86"/>
      <c r="Q42" s="91">
        <v>40</v>
      </c>
      <c r="R42" s="91">
        <v>3</v>
      </c>
      <c r="S42" s="91"/>
      <c r="T42" s="91"/>
      <c r="U42" s="87"/>
      <c r="V42" s="87"/>
      <c r="W42" s="91"/>
      <c r="X42" s="87"/>
      <c r="Y42" s="96">
        <f ca="1">Table29[[#This Row],[5/9/2025]]+2-TODAY()</f>
        <v>-45</v>
      </c>
      <c r="Z42" s="87">
        <f>IF(ISBLANK(Table29[[#This Row],[Roster Received By]]),1,0)</f>
        <v>1</v>
      </c>
      <c r="AA42" s="87">
        <f ca="1">IF(Table29[[#This Row],[5/5/2025]]&gt;TODAY(),1,)</f>
        <v>0</v>
      </c>
    </row>
    <row r="43" spans="1:27" s="93" customFormat="1" ht="14.25" customHeight="1" x14ac:dyDescent="0.25">
      <c r="A43" s="87" t="s">
        <v>512</v>
      </c>
      <c r="B43" s="86" t="s">
        <v>28</v>
      </c>
      <c r="C43" s="87" t="s">
        <v>113</v>
      </c>
      <c r="D43" s="87">
        <v>3683</v>
      </c>
      <c r="E43" s="86" t="s">
        <v>298</v>
      </c>
      <c r="F43" s="89">
        <v>45775</v>
      </c>
      <c r="G43" s="89">
        <v>45777</v>
      </c>
      <c r="H43" s="92">
        <v>0.33333333333333331</v>
      </c>
      <c r="I43" s="92"/>
      <c r="J43" s="89"/>
      <c r="K43" s="89"/>
      <c r="L43" s="89"/>
      <c r="M43" s="89"/>
      <c r="N43" s="89"/>
      <c r="O43" s="86" t="s">
        <v>241</v>
      </c>
      <c r="P43" s="86"/>
      <c r="Q43" s="91">
        <v>40</v>
      </c>
      <c r="R43" s="91">
        <v>3</v>
      </c>
      <c r="S43" s="91"/>
      <c r="T43" s="91"/>
      <c r="U43" s="87"/>
      <c r="V43" s="87"/>
      <c r="W43" s="91"/>
      <c r="X43" s="87"/>
      <c r="Y43" s="96">
        <f ca="1">Table29[[#This Row],[5/9/2025]]+2-TODAY()</f>
        <v>-39</v>
      </c>
      <c r="Z43" s="87">
        <f>IF(ISBLANK(Table29[[#This Row],[Roster Received By]]),1,0)</f>
        <v>1</v>
      </c>
      <c r="AA43" s="87">
        <f ca="1">IF(Table29[[#This Row],[5/5/2025]]&gt;TODAY(),1,)</f>
        <v>0</v>
      </c>
    </row>
    <row r="44" spans="1:27" s="93" customFormat="1" ht="14.25" customHeight="1" x14ac:dyDescent="0.25">
      <c r="A44" s="87" t="s">
        <v>513</v>
      </c>
      <c r="B44" s="86" t="s">
        <v>28</v>
      </c>
      <c r="C44" s="87" t="s">
        <v>113</v>
      </c>
      <c r="D44" s="87">
        <v>3683</v>
      </c>
      <c r="E44" s="86" t="s">
        <v>418</v>
      </c>
      <c r="F44" s="89">
        <v>45778</v>
      </c>
      <c r="G44" s="89">
        <v>45782</v>
      </c>
      <c r="H44" s="92">
        <v>0.33333333333333331</v>
      </c>
      <c r="I44" s="92"/>
      <c r="J44" s="89"/>
      <c r="K44" s="89"/>
      <c r="L44" s="89"/>
      <c r="M44" s="89"/>
      <c r="N44" s="89"/>
      <c r="O44" s="86" t="s">
        <v>241</v>
      </c>
      <c r="P44" s="86"/>
      <c r="Q44" s="91">
        <v>40</v>
      </c>
      <c r="R44" s="91">
        <v>3</v>
      </c>
      <c r="S44" s="91"/>
      <c r="T44" s="91"/>
      <c r="U44" s="87"/>
      <c r="V44" s="87"/>
      <c r="W44" s="91"/>
      <c r="X44" s="87"/>
      <c r="Y44" s="96">
        <f ca="1">Table29[[#This Row],[5/9/2025]]+2-TODAY()</f>
        <v>-34</v>
      </c>
      <c r="Z44" s="87">
        <f>IF(ISBLANK(Table29[[#This Row],[Roster Received By]]),1,0)</f>
        <v>1</v>
      </c>
      <c r="AA44" s="87">
        <f ca="1">IF(Table29[[#This Row],[5/5/2025]]&gt;TODAY(),1,)</f>
        <v>0</v>
      </c>
    </row>
    <row r="45" spans="1:27" s="93" customFormat="1" ht="14.25" customHeight="1" x14ac:dyDescent="0.25">
      <c r="A45" s="87" t="s">
        <v>514</v>
      </c>
      <c r="B45" s="86" t="s">
        <v>28</v>
      </c>
      <c r="C45" s="87" t="s">
        <v>113</v>
      </c>
      <c r="D45" s="87">
        <v>3683</v>
      </c>
      <c r="E45" s="86" t="s">
        <v>239</v>
      </c>
      <c r="F45" s="89">
        <v>45783</v>
      </c>
      <c r="G45" s="89">
        <v>45785</v>
      </c>
      <c r="H45" s="92">
        <v>0.33333333333333331</v>
      </c>
      <c r="I45" s="92"/>
      <c r="J45" s="89"/>
      <c r="K45" s="89"/>
      <c r="L45" s="89"/>
      <c r="M45" s="89"/>
      <c r="N45" s="89"/>
      <c r="O45" s="86" t="s">
        <v>241</v>
      </c>
      <c r="P45" s="86"/>
      <c r="Q45" s="91">
        <v>40</v>
      </c>
      <c r="R45" s="91">
        <v>3</v>
      </c>
      <c r="S45" s="91"/>
      <c r="T45" s="91"/>
      <c r="U45" s="87"/>
      <c r="V45" s="87"/>
      <c r="W45" s="91"/>
      <c r="X45" s="87"/>
      <c r="Y45" s="96">
        <f ca="1">Table29[[#This Row],[5/9/2025]]+2-TODAY()</f>
        <v>-31</v>
      </c>
      <c r="Z45" s="87">
        <f>IF(ISBLANK(Table29[[#This Row],[Roster Received By]]),1,0)</f>
        <v>1</v>
      </c>
      <c r="AA45" s="87">
        <f ca="1">IF(Table29[[#This Row],[5/5/2025]]&gt;TODAY(),1,)</f>
        <v>0</v>
      </c>
    </row>
    <row r="46" spans="1:27" s="93" customFormat="1" x14ac:dyDescent="0.25">
      <c r="A46" s="87" t="s">
        <v>515</v>
      </c>
      <c r="B46" s="86" t="s">
        <v>28</v>
      </c>
      <c r="C46" s="87" t="s">
        <v>113</v>
      </c>
      <c r="D46" s="87">
        <v>3683</v>
      </c>
      <c r="E46" s="86" t="s">
        <v>368</v>
      </c>
      <c r="F46" s="89">
        <v>45783</v>
      </c>
      <c r="G46" s="89">
        <v>45785</v>
      </c>
      <c r="H46" s="92">
        <v>0.33333333333333331</v>
      </c>
      <c r="I46" s="92"/>
      <c r="J46" s="89"/>
      <c r="K46" s="89"/>
      <c r="L46" s="89"/>
      <c r="M46" s="89"/>
      <c r="N46" s="89"/>
      <c r="O46" s="86" t="s">
        <v>241</v>
      </c>
      <c r="P46" s="86"/>
      <c r="Q46" s="91">
        <v>40</v>
      </c>
      <c r="R46" s="91">
        <v>3</v>
      </c>
      <c r="S46" s="91"/>
      <c r="T46" s="91"/>
      <c r="U46" s="87"/>
      <c r="V46" s="87"/>
      <c r="W46" s="91"/>
      <c r="X46" s="87"/>
      <c r="Y46" s="96">
        <f ca="1">Table29[[#This Row],[5/9/2025]]+2-TODAY()</f>
        <v>-31</v>
      </c>
      <c r="Z46" s="87">
        <f>IF(ISBLANK(Table29[[#This Row],[Roster Received By]]),1,0)</f>
        <v>1</v>
      </c>
      <c r="AA46" s="87">
        <f ca="1">IF(Table29[[#This Row],[5/5/2025]]&gt;TODAY(),1,)</f>
        <v>0</v>
      </c>
    </row>
    <row r="47" spans="1:27" s="93" customFormat="1" x14ac:dyDescent="0.25">
      <c r="A47" s="87" t="s">
        <v>512</v>
      </c>
      <c r="B47" s="86" t="s">
        <v>28</v>
      </c>
      <c r="C47" s="87" t="s">
        <v>113</v>
      </c>
      <c r="D47" s="87">
        <v>3683</v>
      </c>
      <c r="E47" s="86" t="s">
        <v>296</v>
      </c>
      <c r="F47" s="89">
        <v>45789</v>
      </c>
      <c r="G47" s="89">
        <v>45791</v>
      </c>
      <c r="H47" s="92">
        <v>0.33333333333333331</v>
      </c>
      <c r="I47" s="92"/>
      <c r="J47" s="89"/>
      <c r="K47" s="89"/>
      <c r="L47" s="89"/>
      <c r="M47" s="89"/>
      <c r="N47" s="89"/>
      <c r="O47" s="86" t="s">
        <v>241</v>
      </c>
      <c r="P47" s="86"/>
      <c r="Q47" s="91">
        <v>40</v>
      </c>
      <c r="R47" s="91">
        <v>3</v>
      </c>
      <c r="S47" s="91"/>
      <c r="T47" s="91"/>
      <c r="U47" s="87"/>
      <c r="V47" s="87"/>
      <c r="W47" s="91"/>
      <c r="X47" s="87"/>
      <c r="Y47" s="96">
        <f ca="1">Table29[[#This Row],[5/9/2025]]+2-TODAY()</f>
        <v>-25</v>
      </c>
      <c r="Z47" s="87">
        <f>IF(ISBLANK(Table29[[#This Row],[Roster Received By]]),1,0)</f>
        <v>1</v>
      </c>
      <c r="AA47" s="87">
        <f ca="1">IF(Table29[[#This Row],[5/5/2025]]&gt;TODAY(),1,)</f>
        <v>0</v>
      </c>
    </row>
    <row r="48" spans="1:27" s="93" customFormat="1" x14ac:dyDescent="0.25">
      <c r="A48" s="87" t="s">
        <v>516</v>
      </c>
      <c r="B48" s="86" t="s">
        <v>28</v>
      </c>
      <c r="C48" s="87" t="s">
        <v>113</v>
      </c>
      <c r="D48" s="87">
        <v>3683</v>
      </c>
      <c r="E48" s="86" t="s">
        <v>324</v>
      </c>
      <c r="F48" s="89">
        <v>45811</v>
      </c>
      <c r="G48" s="89">
        <v>45813</v>
      </c>
      <c r="H48" s="92">
        <v>0.33333333333333331</v>
      </c>
      <c r="I48" s="92"/>
      <c r="J48" s="89"/>
      <c r="K48" s="89"/>
      <c r="L48" s="89"/>
      <c r="M48" s="89"/>
      <c r="N48" s="89"/>
      <c r="O48" s="86" t="s">
        <v>241</v>
      </c>
      <c r="P48" s="86"/>
      <c r="Q48" s="91">
        <v>40</v>
      </c>
      <c r="R48" s="91">
        <v>3</v>
      </c>
      <c r="S48" s="91"/>
      <c r="T48" s="91"/>
      <c r="U48" s="87"/>
      <c r="V48" s="87"/>
      <c r="W48" s="91"/>
      <c r="X48" s="87"/>
      <c r="Y48" s="96">
        <f ca="1">Table29[[#This Row],[5/9/2025]]+2-TODAY()</f>
        <v>-3</v>
      </c>
      <c r="Z48" s="87">
        <f>IF(ISBLANK(Table29[[#This Row],[Roster Received By]]),1,0)</f>
        <v>1</v>
      </c>
      <c r="AA48" s="87">
        <f ca="1">IF(Table29[[#This Row],[5/5/2025]]&gt;TODAY(),1,)</f>
        <v>0</v>
      </c>
    </row>
    <row r="49" spans="1:27" s="93" customFormat="1" x14ac:dyDescent="0.25">
      <c r="A49" s="87"/>
      <c r="B49" s="86" t="s">
        <v>28</v>
      </c>
      <c r="C49" s="87" t="s">
        <v>113</v>
      </c>
      <c r="D49" s="87">
        <v>3683</v>
      </c>
      <c r="E49" s="86" t="s">
        <v>364</v>
      </c>
      <c r="F49" s="89">
        <v>45832</v>
      </c>
      <c r="G49" s="89">
        <v>45834</v>
      </c>
      <c r="H49" s="92">
        <v>0.33333333333333331</v>
      </c>
      <c r="I49" s="92"/>
      <c r="J49" s="89"/>
      <c r="K49" s="89"/>
      <c r="L49" s="89"/>
      <c r="M49" s="89"/>
      <c r="N49" s="89"/>
      <c r="O49" s="86" t="s">
        <v>241</v>
      </c>
      <c r="P49" s="86"/>
      <c r="Q49" s="91">
        <v>40</v>
      </c>
      <c r="R49" s="91">
        <v>3</v>
      </c>
      <c r="S49" s="91"/>
      <c r="T49" s="91"/>
      <c r="U49" s="87"/>
      <c r="V49" s="87"/>
      <c r="W49" s="91"/>
      <c r="X49" s="87"/>
      <c r="Y49" s="96">
        <f ca="1">Table29[[#This Row],[5/9/2025]]+2-TODAY()</f>
        <v>18</v>
      </c>
      <c r="Z49" s="87">
        <f>IF(ISBLANK(Table29[[#This Row],[Roster Received By]]),1,0)</f>
        <v>1</v>
      </c>
      <c r="AA49" s="87">
        <f ca="1">IF(Table29[[#This Row],[5/5/2025]]&gt;TODAY(),1,)</f>
        <v>1</v>
      </c>
    </row>
    <row r="50" spans="1:27" s="93" customFormat="1" x14ac:dyDescent="0.25">
      <c r="A50" s="87"/>
      <c r="B50" s="86" t="s">
        <v>28</v>
      </c>
      <c r="C50" s="87" t="s">
        <v>113</v>
      </c>
      <c r="D50" s="87">
        <v>3683</v>
      </c>
      <c r="E50" s="86" t="s">
        <v>173</v>
      </c>
      <c r="F50" s="89">
        <v>45838</v>
      </c>
      <c r="G50" s="89">
        <v>45840</v>
      </c>
      <c r="H50" s="92">
        <v>0.33333333333333331</v>
      </c>
      <c r="I50" s="92"/>
      <c r="J50" s="89"/>
      <c r="K50" s="89"/>
      <c r="L50" s="89"/>
      <c r="M50" s="89"/>
      <c r="N50" s="89"/>
      <c r="O50" s="86" t="s">
        <v>241</v>
      </c>
      <c r="P50" s="86"/>
      <c r="Q50" s="91">
        <v>40</v>
      </c>
      <c r="R50" s="91">
        <v>3</v>
      </c>
      <c r="S50" s="91"/>
      <c r="T50" s="91"/>
      <c r="U50" s="87"/>
      <c r="V50" s="87"/>
      <c r="W50" s="91"/>
      <c r="X50" s="87"/>
      <c r="Y50" s="96">
        <f ca="1">Table29[[#This Row],[5/9/2025]]+2-TODAY()</f>
        <v>24</v>
      </c>
      <c r="Z50" s="87">
        <f>IF(ISBLANK(Table29[[#This Row],[Roster Received By]]),1,0)</f>
        <v>1</v>
      </c>
      <c r="AA50" s="87">
        <f ca="1">IF(Table29[[#This Row],[5/5/2025]]&gt;TODAY(),1,)</f>
        <v>1</v>
      </c>
    </row>
    <row r="51" spans="1:27" s="93" customFormat="1" x14ac:dyDescent="0.25">
      <c r="A51" s="87" t="s">
        <v>517</v>
      </c>
      <c r="B51" s="86" t="s">
        <v>28</v>
      </c>
      <c r="C51" s="87" t="s">
        <v>113</v>
      </c>
      <c r="D51" s="87">
        <v>3683</v>
      </c>
      <c r="E51" s="86" t="s">
        <v>234</v>
      </c>
      <c r="F51" s="89">
        <v>45846</v>
      </c>
      <c r="G51" s="89">
        <v>45848</v>
      </c>
      <c r="H51" s="92">
        <v>0.33333333333333331</v>
      </c>
      <c r="I51" s="92"/>
      <c r="J51" s="89"/>
      <c r="K51" s="89"/>
      <c r="L51" s="89"/>
      <c r="M51" s="89"/>
      <c r="N51" s="89"/>
      <c r="O51" s="86" t="s">
        <v>241</v>
      </c>
      <c r="P51" s="86"/>
      <c r="Q51" s="91">
        <v>40</v>
      </c>
      <c r="R51" s="91">
        <v>3</v>
      </c>
      <c r="S51" s="91"/>
      <c r="T51" s="91"/>
      <c r="U51" s="87"/>
      <c r="V51" s="87"/>
      <c r="W51" s="91"/>
      <c r="X51" s="87"/>
      <c r="Y51" s="96">
        <f ca="1">Table29[[#This Row],[5/9/2025]]+2-TODAY()</f>
        <v>32</v>
      </c>
      <c r="Z51" s="87">
        <f>IF(ISBLANK(Table29[[#This Row],[Roster Received By]]),1,0)</f>
        <v>1</v>
      </c>
      <c r="AA51" s="87">
        <f ca="1">IF(Table29[[#This Row],[5/5/2025]]&gt;TODAY(),1,)</f>
        <v>1</v>
      </c>
    </row>
    <row r="52" spans="1:27" s="93" customFormat="1" x14ac:dyDescent="0.25">
      <c r="A52" s="87"/>
      <c r="B52" s="86" t="s">
        <v>28</v>
      </c>
      <c r="C52" s="87" t="s">
        <v>113</v>
      </c>
      <c r="D52" s="87">
        <v>3683</v>
      </c>
      <c r="E52" s="86" t="s">
        <v>275</v>
      </c>
      <c r="F52" s="89">
        <v>45853</v>
      </c>
      <c r="G52" s="89">
        <v>45855</v>
      </c>
      <c r="H52" s="92">
        <v>0.33333333333333331</v>
      </c>
      <c r="I52" s="92"/>
      <c r="J52" s="89"/>
      <c r="K52" s="89"/>
      <c r="L52" s="89"/>
      <c r="M52" s="89"/>
      <c r="N52" s="89"/>
      <c r="O52" s="86" t="s">
        <v>241</v>
      </c>
      <c r="P52" s="86"/>
      <c r="Q52" s="91">
        <v>40</v>
      </c>
      <c r="R52" s="91">
        <v>3</v>
      </c>
      <c r="S52" s="91"/>
      <c r="T52" s="91"/>
      <c r="U52" s="87"/>
      <c r="V52" s="87"/>
      <c r="W52" s="91"/>
      <c r="X52" s="87"/>
      <c r="Y52" s="96">
        <f ca="1">Table29[[#This Row],[5/9/2025]]+2-TODAY()</f>
        <v>39</v>
      </c>
      <c r="Z52" s="87">
        <f>IF(ISBLANK(Table29[[#This Row],[Roster Received By]]),1,0)</f>
        <v>1</v>
      </c>
      <c r="AA52" s="87">
        <f ca="1">IF(Table29[[#This Row],[5/5/2025]]&gt;TODAY(),1,)</f>
        <v>1</v>
      </c>
    </row>
    <row r="53" spans="1:27" s="93" customFormat="1" x14ac:dyDescent="0.25">
      <c r="A53" s="87"/>
      <c r="B53" s="86" t="s">
        <v>28</v>
      </c>
      <c r="C53" s="87" t="s">
        <v>113</v>
      </c>
      <c r="D53" s="87">
        <v>3683</v>
      </c>
      <c r="E53" s="86" t="s">
        <v>168</v>
      </c>
      <c r="F53" s="89">
        <v>45860</v>
      </c>
      <c r="G53" s="89">
        <v>45862</v>
      </c>
      <c r="H53" s="92">
        <v>0.33333333333333331</v>
      </c>
      <c r="I53" s="92"/>
      <c r="J53" s="89"/>
      <c r="K53" s="89"/>
      <c r="L53" s="89"/>
      <c r="M53" s="89"/>
      <c r="N53" s="89"/>
      <c r="O53" s="86" t="s">
        <v>241</v>
      </c>
      <c r="P53" s="86"/>
      <c r="Q53" s="91">
        <v>40</v>
      </c>
      <c r="R53" s="91">
        <v>3</v>
      </c>
      <c r="S53" s="91"/>
      <c r="T53" s="91"/>
      <c r="U53" s="87"/>
      <c r="V53" s="87"/>
      <c r="W53" s="91"/>
      <c r="X53" s="87"/>
      <c r="Y53" s="96">
        <f ca="1">Table29[[#This Row],[5/9/2025]]+2-TODAY()</f>
        <v>46</v>
      </c>
      <c r="Z53" s="87">
        <f>IF(ISBLANK(Table29[[#This Row],[Roster Received By]]),1,0)</f>
        <v>1</v>
      </c>
      <c r="AA53" s="87">
        <f ca="1">IF(Table29[[#This Row],[5/5/2025]]&gt;TODAY(),1,)</f>
        <v>1</v>
      </c>
    </row>
    <row r="54" spans="1:27" s="93" customFormat="1" x14ac:dyDescent="0.25">
      <c r="A54" s="87"/>
      <c r="B54" s="86" t="s">
        <v>28</v>
      </c>
      <c r="C54" s="87" t="s">
        <v>113</v>
      </c>
      <c r="D54" s="87">
        <v>3683</v>
      </c>
      <c r="E54" s="86" t="s">
        <v>290</v>
      </c>
      <c r="F54" s="89">
        <v>45882</v>
      </c>
      <c r="G54" s="89">
        <v>45884</v>
      </c>
      <c r="H54" s="92">
        <v>0.33333333333333331</v>
      </c>
      <c r="I54" s="92"/>
      <c r="J54" s="89"/>
      <c r="K54" s="89"/>
      <c r="L54" s="89"/>
      <c r="M54" s="89"/>
      <c r="N54" s="89"/>
      <c r="O54" s="86" t="s">
        <v>241</v>
      </c>
      <c r="P54" s="86"/>
      <c r="Q54" s="91">
        <v>40</v>
      </c>
      <c r="R54" s="91">
        <v>3</v>
      </c>
      <c r="S54" s="91"/>
      <c r="T54" s="91"/>
      <c r="U54" s="87"/>
      <c r="V54" s="87"/>
      <c r="W54" s="91"/>
      <c r="X54" s="87"/>
      <c r="Y54" s="96">
        <f ca="1">Table29[[#This Row],[5/9/2025]]+2-TODAY()</f>
        <v>68</v>
      </c>
      <c r="Z54" s="87">
        <f>IF(ISBLANK(Table29[[#This Row],[Roster Received By]]),1,0)</f>
        <v>1</v>
      </c>
      <c r="AA54" s="87">
        <f ca="1">IF(Table29[[#This Row],[5/5/2025]]&gt;TODAY(),1,)</f>
        <v>1</v>
      </c>
    </row>
    <row r="55" spans="1:27" s="122" customFormat="1" x14ac:dyDescent="0.25">
      <c r="A55" s="87"/>
      <c r="B55" s="86" t="s">
        <v>28</v>
      </c>
      <c r="C55" s="87" t="s">
        <v>113</v>
      </c>
      <c r="D55" s="87">
        <v>3683</v>
      </c>
      <c r="E55" s="86" t="s">
        <v>161</v>
      </c>
      <c r="F55" s="89">
        <v>45895</v>
      </c>
      <c r="G55" s="89">
        <v>45897</v>
      </c>
      <c r="H55" s="92">
        <v>0.33333333333333331</v>
      </c>
      <c r="I55" s="92"/>
      <c r="J55" s="89"/>
      <c r="K55" s="89"/>
      <c r="L55" s="89"/>
      <c r="M55" s="89"/>
      <c r="N55" s="89"/>
      <c r="O55" s="86" t="s">
        <v>241</v>
      </c>
      <c r="P55" s="86"/>
      <c r="Q55" s="91">
        <v>40</v>
      </c>
      <c r="R55" s="91">
        <v>3</v>
      </c>
      <c r="S55" s="91"/>
      <c r="T55" s="91"/>
      <c r="U55" s="87"/>
      <c r="V55" s="87"/>
      <c r="W55" s="91"/>
      <c r="X55" s="87"/>
      <c r="Y55" s="96">
        <f ca="1">Table29[[#This Row],[5/9/2025]]+2-TODAY()</f>
        <v>81</v>
      </c>
      <c r="Z55" s="87">
        <f>IF(ISBLANK(Table29[[#This Row],[Roster Received By]]),1,0)</f>
        <v>1</v>
      </c>
      <c r="AA55" s="87">
        <f ca="1">IF(Table29[[#This Row],[5/5/2025]]&gt;TODAY(),1,)</f>
        <v>1</v>
      </c>
    </row>
    <row r="56" spans="1:27" s="93" customFormat="1" x14ac:dyDescent="0.25">
      <c r="A56" s="87"/>
      <c r="B56" s="86" t="s">
        <v>28</v>
      </c>
      <c r="C56" s="87" t="s">
        <v>113</v>
      </c>
      <c r="D56" s="87">
        <v>3683</v>
      </c>
      <c r="E56" s="86" t="s">
        <v>178</v>
      </c>
      <c r="F56" s="89">
        <v>45917</v>
      </c>
      <c r="G56" s="89">
        <v>45919</v>
      </c>
      <c r="H56" s="92">
        <v>0.33333333333333331</v>
      </c>
      <c r="I56" s="92"/>
      <c r="J56" s="89"/>
      <c r="K56" s="89"/>
      <c r="L56" s="89"/>
      <c r="M56" s="89"/>
      <c r="N56" s="89"/>
      <c r="O56" s="86" t="s">
        <v>241</v>
      </c>
      <c r="P56" s="86"/>
      <c r="Q56" s="91">
        <v>40</v>
      </c>
      <c r="R56" s="91">
        <v>3</v>
      </c>
      <c r="S56" s="91"/>
      <c r="T56" s="91"/>
      <c r="U56" s="87"/>
      <c r="V56" s="87"/>
      <c r="W56" s="91"/>
      <c r="X56" s="87"/>
      <c r="Y56" s="96">
        <f ca="1">Table29[[#This Row],[5/9/2025]]+2-TODAY()</f>
        <v>103</v>
      </c>
      <c r="Z56" s="87">
        <f>IF(ISBLANK(Table29[[#This Row],[Roster Received By]]),1,0)</f>
        <v>1</v>
      </c>
      <c r="AA56" s="87">
        <f ca="1">IF(Table29[[#This Row],[5/5/2025]]&gt;TODAY(),1,)</f>
        <v>1</v>
      </c>
    </row>
    <row r="57" spans="1:27" s="93" customFormat="1" x14ac:dyDescent="0.25">
      <c r="A57" s="87" t="s">
        <v>518</v>
      </c>
      <c r="B57" s="86" t="s">
        <v>28</v>
      </c>
      <c r="C57" s="87" t="s">
        <v>113</v>
      </c>
      <c r="D57" s="87">
        <v>3683</v>
      </c>
      <c r="E57" s="86" t="s">
        <v>400</v>
      </c>
      <c r="F57" s="89">
        <v>45924</v>
      </c>
      <c r="G57" s="89">
        <v>45926</v>
      </c>
      <c r="H57" s="92">
        <v>0.33333333333333331</v>
      </c>
      <c r="I57" s="92"/>
      <c r="J57" s="89"/>
      <c r="K57" s="89"/>
      <c r="L57" s="89"/>
      <c r="M57" s="89"/>
      <c r="N57" s="89"/>
      <c r="O57" s="86" t="s">
        <v>241</v>
      </c>
      <c r="P57" s="86"/>
      <c r="Q57" s="91">
        <v>40</v>
      </c>
      <c r="R57" s="91">
        <v>3</v>
      </c>
      <c r="S57" s="91"/>
      <c r="T57" s="91"/>
      <c r="U57" s="87"/>
      <c r="V57" s="87"/>
      <c r="W57" s="91"/>
      <c r="X57" s="87"/>
      <c r="Y57" s="96">
        <f ca="1">Table29[[#This Row],[5/9/2025]]+2-TODAY()</f>
        <v>110</v>
      </c>
      <c r="Z57" s="87">
        <f>IF(ISBLANK(Table29[[#This Row],[Roster Received By]]),1,0)</f>
        <v>1</v>
      </c>
      <c r="AA57" s="87">
        <f ca="1">IF(Table29[[#This Row],[5/5/2025]]&gt;TODAY(),1,)</f>
        <v>1</v>
      </c>
    </row>
    <row r="58" spans="1:27" s="93" customFormat="1" x14ac:dyDescent="0.25">
      <c r="A58" s="223" t="s">
        <v>519</v>
      </c>
      <c r="B58" s="220" t="s">
        <v>28</v>
      </c>
      <c r="C58" s="87" t="s">
        <v>113</v>
      </c>
      <c r="D58" s="87">
        <v>3683</v>
      </c>
      <c r="E58" s="86" t="s">
        <v>175</v>
      </c>
      <c r="F58" s="89">
        <v>45699</v>
      </c>
      <c r="G58" s="89">
        <v>45701</v>
      </c>
      <c r="H58" s="92">
        <v>0.33333333333333331</v>
      </c>
      <c r="I58" s="92"/>
      <c r="J58" s="89"/>
      <c r="K58" s="89"/>
      <c r="L58" s="89"/>
      <c r="M58" s="89"/>
      <c r="N58" s="89"/>
      <c r="O58" s="86" t="s">
        <v>241</v>
      </c>
      <c r="P58" s="86"/>
      <c r="Q58" s="91">
        <v>40</v>
      </c>
      <c r="R58" s="91">
        <v>3</v>
      </c>
      <c r="S58" s="91"/>
      <c r="T58" s="91"/>
      <c r="U58" s="87"/>
      <c r="V58" s="87"/>
      <c r="W58" s="91"/>
      <c r="X58" s="87"/>
      <c r="Y58" s="96">
        <f ca="1">Table29[[#This Row],[5/9/2025]]+2-TODAY()</f>
        <v>-115</v>
      </c>
      <c r="Z58" s="87">
        <f>IF(ISBLANK(Table29[[#This Row],[Roster Received By]]),1,0)</f>
        <v>1</v>
      </c>
      <c r="AA58" s="87">
        <f ca="1">IF(Table29[[#This Row],[5/5/2025]]&gt;TODAY(),1,)</f>
        <v>0</v>
      </c>
    </row>
    <row r="59" spans="1:27" s="93" customFormat="1" x14ac:dyDescent="0.25">
      <c r="A59" s="224" t="s">
        <v>520</v>
      </c>
      <c r="B59" s="220" t="s">
        <v>28</v>
      </c>
      <c r="C59" s="87" t="s">
        <v>113</v>
      </c>
      <c r="D59" s="87">
        <v>3683</v>
      </c>
      <c r="E59" s="86" t="s">
        <v>411</v>
      </c>
      <c r="F59" s="89">
        <v>45916</v>
      </c>
      <c r="G59" s="89">
        <v>45918</v>
      </c>
      <c r="H59" s="92">
        <v>0.33333333333333331</v>
      </c>
      <c r="I59" s="92"/>
      <c r="J59" s="89"/>
      <c r="K59" s="89"/>
      <c r="L59" s="89"/>
      <c r="M59" s="89"/>
      <c r="N59" s="89"/>
      <c r="O59" s="86" t="s">
        <v>241</v>
      </c>
      <c r="P59" s="86"/>
      <c r="Q59" s="90">
        <v>40</v>
      </c>
      <c r="R59" s="91">
        <v>3</v>
      </c>
      <c r="S59" s="90"/>
      <c r="T59" s="90"/>
      <c r="U59" s="14"/>
      <c r="V59" s="14"/>
      <c r="W59" s="14"/>
      <c r="X59" s="52"/>
      <c r="Y59" s="59">
        <f ca="1">Table29[[#This Row],[5/9/2025]]+2-TODAY()</f>
        <v>102</v>
      </c>
      <c r="Z59" s="14">
        <f>IF(ISBLANK(Table29[[#This Row],[Roster Received By]]),1,0)</f>
        <v>1</v>
      </c>
      <c r="AA59" s="14">
        <f ca="1">IF(Table29[[#This Row],[5/5/2025]]&gt;TODAY(),1,)</f>
        <v>1</v>
      </c>
    </row>
    <row r="60" spans="1:27" s="93" customFormat="1" x14ac:dyDescent="0.25">
      <c r="A60" s="223" t="s">
        <v>521</v>
      </c>
      <c r="B60" s="220" t="s">
        <v>28</v>
      </c>
      <c r="C60" s="87" t="s">
        <v>113</v>
      </c>
      <c r="D60" s="87">
        <v>3683</v>
      </c>
      <c r="E60" s="86" t="s">
        <v>352</v>
      </c>
      <c r="F60" s="89">
        <v>45853</v>
      </c>
      <c r="G60" s="89">
        <v>45855</v>
      </c>
      <c r="H60" s="92">
        <v>0.33333333333333331</v>
      </c>
      <c r="I60" s="92"/>
      <c r="J60" s="89"/>
      <c r="K60" s="89"/>
      <c r="L60" s="89"/>
      <c r="M60" s="89"/>
      <c r="N60" s="89"/>
      <c r="O60" s="86" t="s">
        <v>241</v>
      </c>
      <c r="P60" s="86"/>
      <c r="Q60" s="91">
        <v>40</v>
      </c>
      <c r="R60" s="91">
        <v>3</v>
      </c>
      <c r="S60" s="91"/>
      <c r="T60" s="91"/>
      <c r="U60" s="87"/>
      <c r="V60" s="87"/>
      <c r="W60" s="91"/>
      <c r="X60" s="87"/>
      <c r="Y60" s="96">
        <f ca="1">Table29[[#This Row],[5/9/2025]]+2-TODAY()</f>
        <v>39</v>
      </c>
      <c r="Z60" s="87">
        <f>IF(ISBLANK(Table29[[#This Row],[Roster Received By]]),1,0)</f>
        <v>1</v>
      </c>
      <c r="AA60" s="87">
        <f ca="1">IF(Table29[[#This Row],[5/5/2025]]&gt;TODAY(),1,)</f>
        <v>1</v>
      </c>
    </row>
    <row r="61" spans="1:27" s="93" customFormat="1" x14ac:dyDescent="0.25">
      <c r="A61" s="223" t="s">
        <v>522</v>
      </c>
      <c r="B61" s="220" t="s">
        <v>28</v>
      </c>
      <c r="C61" s="87" t="s">
        <v>113</v>
      </c>
      <c r="D61" s="87">
        <v>3683</v>
      </c>
      <c r="E61" s="86" t="s">
        <v>160</v>
      </c>
      <c r="F61" s="89">
        <v>45776</v>
      </c>
      <c r="G61" s="89">
        <v>45778</v>
      </c>
      <c r="H61" s="92">
        <v>0.33333333333333331</v>
      </c>
      <c r="I61" s="92"/>
      <c r="J61" s="89"/>
      <c r="K61" s="89"/>
      <c r="L61" s="89"/>
      <c r="M61" s="89"/>
      <c r="N61" s="89"/>
      <c r="O61" s="86" t="s">
        <v>241</v>
      </c>
      <c r="P61" s="86"/>
      <c r="Q61" s="91">
        <v>40</v>
      </c>
      <c r="R61" s="91">
        <v>3</v>
      </c>
      <c r="S61" s="91"/>
      <c r="T61" s="91"/>
      <c r="U61" s="87"/>
      <c r="V61" s="87"/>
      <c r="W61" s="91"/>
      <c r="X61" s="87"/>
      <c r="Y61" s="96">
        <f ca="1">Table29[[#This Row],[5/9/2025]]+2-TODAY()</f>
        <v>-38</v>
      </c>
      <c r="Z61" s="87">
        <f>IF(ISBLANK(Table29[[#This Row],[Roster Received By]]),1,0)</f>
        <v>1</v>
      </c>
      <c r="AA61" s="87">
        <f ca="1">IF(Table29[[#This Row],[5/5/2025]]&gt;TODAY(),1,)</f>
        <v>0</v>
      </c>
    </row>
    <row r="62" spans="1:27" s="93" customFormat="1" x14ac:dyDescent="0.25">
      <c r="A62" s="87" t="s">
        <v>446</v>
      </c>
      <c r="B62" s="86" t="s">
        <v>28</v>
      </c>
      <c r="C62" s="87" t="s">
        <v>113</v>
      </c>
      <c r="D62" s="87">
        <v>3683</v>
      </c>
      <c r="E62" s="86" t="s">
        <v>158</v>
      </c>
      <c r="F62" s="89">
        <v>45741</v>
      </c>
      <c r="G62" s="89">
        <v>45743</v>
      </c>
      <c r="H62" s="92">
        <v>0.33333333333333331</v>
      </c>
      <c r="I62" s="92"/>
      <c r="J62" s="89"/>
      <c r="K62" s="89"/>
      <c r="L62" s="89"/>
      <c r="M62" s="89"/>
      <c r="N62" s="89"/>
      <c r="O62" s="86" t="s">
        <v>241</v>
      </c>
      <c r="P62" s="86"/>
      <c r="Q62" s="91">
        <v>40</v>
      </c>
      <c r="R62" s="91">
        <v>3</v>
      </c>
      <c r="S62" s="91"/>
      <c r="T62" s="91"/>
      <c r="U62" s="87"/>
      <c r="V62" s="87"/>
      <c r="W62" s="91"/>
      <c r="X62" s="87"/>
      <c r="Y62" s="96">
        <f ca="1">Table29[[#This Row],[5/9/2025]]+2-TODAY()</f>
        <v>-73</v>
      </c>
      <c r="Z62" s="87">
        <f>IF(ISBLANK(Table29[[#This Row],[Roster Received By]]),1,0)</f>
        <v>1</v>
      </c>
      <c r="AA62" s="87">
        <f ca="1">IF(Table29[[#This Row],[5/5/2025]]&gt;TODAY(),1,)</f>
        <v>0</v>
      </c>
    </row>
    <row r="63" spans="1:27" s="93" customFormat="1" x14ac:dyDescent="0.25">
      <c r="A63" s="87" t="s">
        <v>446</v>
      </c>
      <c r="B63" s="86" t="s">
        <v>28</v>
      </c>
      <c r="C63" s="87" t="s">
        <v>113</v>
      </c>
      <c r="D63" s="87">
        <v>3683</v>
      </c>
      <c r="E63" s="86" t="s">
        <v>267</v>
      </c>
      <c r="F63" s="89">
        <v>45902</v>
      </c>
      <c r="G63" s="89">
        <v>45903</v>
      </c>
      <c r="H63" s="92">
        <v>0.33333333333333331</v>
      </c>
      <c r="I63" s="92"/>
      <c r="J63" s="89"/>
      <c r="K63" s="89"/>
      <c r="L63" s="89"/>
      <c r="M63" s="89"/>
      <c r="N63" s="89"/>
      <c r="O63" s="86" t="s">
        <v>241</v>
      </c>
      <c r="P63" s="86"/>
      <c r="Q63" s="91">
        <v>40</v>
      </c>
      <c r="R63" s="91">
        <v>3</v>
      </c>
      <c r="S63" s="91"/>
      <c r="T63" s="91"/>
      <c r="U63" s="87"/>
      <c r="V63" s="87"/>
      <c r="W63" s="91"/>
      <c r="X63" s="87"/>
      <c r="Y63" s="96">
        <f ca="1">Table29[[#This Row],[5/9/2025]]+2-TODAY()</f>
        <v>87</v>
      </c>
      <c r="Z63" s="87">
        <f>IF(ISBLANK(Table29[[#This Row],[Roster Received By]]),1,0)</f>
        <v>1</v>
      </c>
      <c r="AA63" s="87">
        <f ca="1">IF(Table29[[#This Row],[5/5/2025]]&gt;TODAY(),1,)</f>
        <v>1</v>
      </c>
    </row>
    <row r="64" spans="1:27" s="93" customFormat="1" x14ac:dyDescent="0.25">
      <c r="A64" s="52"/>
      <c r="B64" s="86" t="s">
        <v>29</v>
      </c>
      <c r="C64" s="87" t="s">
        <v>123</v>
      </c>
      <c r="D64" s="87" t="s">
        <v>124</v>
      </c>
      <c r="E64" s="86" t="s">
        <v>242</v>
      </c>
      <c r="F64" s="56">
        <v>45670</v>
      </c>
      <c r="G64" s="56">
        <v>45672</v>
      </c>
      <c r="H64" s="88">
        <v>0.33333333333333331</v>
      </c>
      <c r="I64" s="88"/>
      <c r="J64" s="92"/>
      <c r="K64" s="92"/>
      <c r="L64" s="92"/>
      <c r="M64" s="92"/>
      <c r="N64" s="92"/>
      <c r="O64" s="86" t="s">
        <v>241</v>
      </c>
      <c r="P64" s="86"/>
      <c r="Q64" s="14">
        <v>25</v>
      </c>
      <c r="R64" s="14">
        <v>3</v>
      </c>
      <c r="S64" s="14"/>
      <c r="T64" s="90"/>
      <c r="U64" s="14"/>
      <c r="V64" s="14"/>
      <c r="W64" s="14"/>
      <c r="X64" s="86"/>
      <c r="Y64" s="59">
        <f ca="1">Table29[[#This Row],[5/9/2025]]+2-TODAY()</f>
        <v>-144</v>
      </c>
      <c r="Z64" s="14">
        <f>IF(ISBLANK(Table29[[#This Row],[Roster Received By]]),1,0)</f>
        <v>1</v>
      </c>
      <c r="AA64" s="14">
        <f ca="1">IF(Table29[[#This Row],[5/5/2025]]&gt;TODAY(),1,)</f>
        <v>0</v>
      </c>
    </row>
    <row r="65" spans="1:27" s="93" customFormat="1" x14ac:dyDescent="0.25">
      <c r="A65" s="52"/>
      <c r="B65" s="86" t="s">
        <v>29</v>
      </c>
      <c r="C65" s="87" t="s">
        <v>123</v>
      </c>
      <c r="D65" s="87" t="s">
        <v>124</v>
      </c>
      <c r="E65" s="86" t="s">
        <v>169</v>
      </c>
      <c r="F65" s="89">
        <v>45691</v>
      </c>
      <c r="G65" s="89">
        <v>45693</v>
      </c>
      <c r="H65" s="88">
        <v>0.33333333333333331</v>
      </c>
      <c r="I65" s="92"/>
      <c r="J65" s="89"/>
      <c r="K65" s="89"/>
      <c r="L65" s="89"/>
      <c r="M65" s="89"/>
      <c r="N65" s="89"/>
      <c r="O65" s="86" t="s">
        <v>241</v>
      </c>
      <c r="P65" s="86"/>
      <c r="Q65" s="14">
        <v>25</v>
      </c>
      <c r="R65" s="14">
        <v>3</v>
      </c>
      <c r="S65" s="14"/>
      <c r="T65" s="90"/>
      <c r="U65" s="14"/>
      <c r="V65" s="14"/>
      <c r="W65" s="87"/>
      <c r="X65" s="86"/>
      <c r="Y65" s="59">
        <f ca="1">Table29[[#This Row],[5/9/2025]]+2-TODAY()</f>
        <v>-123</v>
      </c>
      <c r="Z65" s="14">
        <f>IF(ISBLANK(Table29[[#This Row],[Roster Received By]]),1,0)</f>
        <v>1</v>
      </c>
      <c r="AA65" s="14">
        <f ca="1">IF(Table29[[#This Row],[5/5/2025]]&gt;TODAY(),1,)</f>
        <v>0</v>
      </c>
    </row>
    <row r="66" spans="1:27" s="93" customFormat="1" x14ac:dyDescent="0.25">
      <c r="A66" s="52"/>
      <c r="B66" s="86" t="s">
        <v>29</v>
      </c>
      <c r="C66" s="87" t="s">
        <v>123</v>
      </c>
      <c r="D66" s="87" t="s">
        <v>124</v>
      </c>
      <c r="E66" s="86" t="s">
        <v>157</v>
      </c>
      <c r="F66" s="89">
        <v>45698</v>
      </c>
      <c r="G66" s="89">
        <v>45700</v>
      </c>
      <c r="H66" s="88">
        <v>0.33333333333333331</v>
      </c>
      <c r="I66" s="95"/>
      <c r="J66" s="126"/>
      <c r="K66" s="89"/>
      <c r="L66" s="89"/>
      <c r="M66" s="89"/>
      <c r="N66" s="89"/>
      <c r="O66" s="86" t="s">
        <v>241</v>
      </c>
      <c r="P66" s="86"/>
      <c r="Q66" s="14">
        <v>25</v>
      </c>
      <c r="R66" s="14">
        <v>3</v>
      </c>
      <c r="S66" s="14"/>
      <c r="T66" s="90"/>
      <c r="U66" s="14"/>
      <c r="V66" s="14"/>
      <c r="W66" s="14"/>
      <c r="X66" s="86"/>
      <c r="Y66" s="59">
        <f ca="1">Table29[[#This Row],[5/9/2025]]+2-TODAY()</f>
        <v>-116</v>
      </c>
      <c r="Z66" s="14">
        <f>IF(ISBLANK(Table29[[#This Row],[Roster Received By]]),1,0)</f>
        <v>1</v>
      </c>
      <c r="AA66" s="14">
        <f ca="1">IF(Table29[[#This Row],[5/5/2025]]&gt;TODAY(),1,)</f>
        <v>0</v>
      </c>
    </row>
    <row r="67" spans="1:27" s="93" customFormat="1" x14ac:dyDescent="0.25">
      <c r="A67" s="52" t="s">
        <v>523</v>
      </c>
      <c r="B67" s="86" t="s">
        <v>29</v>
      </c>
      <c r="C67" s="87" t="s">
        <v>123</v>
      </c>
      <c r="D67" s="87" t="s">
        <v>124</v>
      </c>
      <c r="E67" s="86" t="s">
        <v>284</v>
      </c>
      <c r="F67" s="89">
        <v>45698</v>
      </c>
      <c r="G67" s="89">
        <v>45700</v>
      </c>
      <c r="H67" s="88">
        <v>0.33333333333333331</v>
      </c>
      <c r="I67" s="88"/>
      <c r="J67" s="88"/>
      <c r="K67" s="88"/>
      <c r="L67" s="88"/>
      <c r="M67" s="88"/>
      <c r="N67" s="88"/>
      <c r="O67" s="86" t="s">
        <v>241</v>
      </c>
      <c r="P67" s="86"/>
      <c r="Q67" s="14">
        <v>25</v>
      </c>
      <c r="R67" s="14">
        <v>3</v>
      </c>
      <c r="S67" s="90"/>
      <c r="T67" s="90"/>
      <c r="U67" s="14"/>
      <c r="V67" s="14"/>
      <c r="W67" s="87"/>
      <c r="X67" s="86"/>
      <c r="Y67" s="59">
        <f ca="1">Table29[[#This Row],[5/9/2025]]+2-TODAY()</f>
        <v>-116</v>
      </c>
      <c r="Z67" s="14">
        <f>IF(ISBLANK(Table29[[#This Row],[Roster Received By]]),1,0)</f>
        <v>1</v>
      </c>
      <c r="AA67" s="14">
        <f ca="1">IF(Table29[[#This Row],[5/5/2025]]&gt;TODAY(),1,)</f>
        <v>0</v>
      </c>
    </row>
    <row r="68" spans="1:27" s="93" customFormat="1" x14ac:dyDescent="0.25">
      <c r="A68" s="52"/>
      <c r="B68" s="86" t="s">
        <v>29</v>
      </c>
      <c r="C68" s="87" t="s">
        <v>123</v>
      </c>
      <c r="D68" s="87" t="s">
        <v>124</v>
      </c>
      <c r="E68" s="54" t="s">
        <v>281</v>
      </c>
      <c r="F68" s="89">
        <v>45719</v>
      </c>
      <c r="G68" s="89">
        <v>45721</v>
      </c>
      <c r="H68" s="88">
        <v>0.33333333333333331</v>
      </c>
      <c r="I68" s="88"/>
      <c r="J68" s="88"/>
      <c r="K68" s="92"/>
      <c r="L68" s="92"/>
      <c r="M68" s="92"/>
      <c r="N68" s="92"/>
      <c r="O68" s="86" t="s">
        <v>241</v>
      </c>
      <c r="P68" s="86"/>
      <c r="Q68" s="14">
        <v>25</v>
      </c>
      <c r="R68" s="14">
        <v>3</v>
      </c>
      <c r="S68" s="14"/>
      <c r="T68" s="90"/>
      <c r="U68" s="14"/>
      <c r="V68" s="14"/>
      <c r="W68" s="14"/>
      <c r="X68" s="86"/>
      <c r="Y68" s="59">
        <f ca="1">Table29[[#This Row],[5/9/2025]]+2-TODAY()</f>
        <v>-95</v>
      </c>
      <c r="Z68" s="14">
        <f>IF(ISBLANK(Table29[[#This Row],[Roster Received By]]),1,0)</f>
        <v>1</v>
      </c>
      <c r="AA68" s="14">
        <f ca="1">IF(Table29[[#This Row],[5/5/2025]]&gt;TODAY(),1,)</f>
        <v>0</v>
      </c>
    </row>
    <row r="69" spans="1:27" s="93" customFormat="1" x14ac:dyDescent="0.25">
      <c r="A69" s="52"/>
      <c r="B69" s="86" t="s">
        <v>29</v>
      </c>
      <c r="C69" s="87" t="s">
        <v>123</v>
      </c>
      <c r="D69" s="87" t="s">
        <v>124</v>
      </c>
      <c r="E69" s="86" t="s">
        <v>291</v>
      </c>
      <c r="F69" s="89">
        <v>45740</v>
      </c>
      <c r="G69" s="89">
        <v>45742</v>
      </c>
      <c r="H69" s="88">
        <v>0.33333333333333331</v>
      </c>
      <c r="I69" s="88"/>
      <c r="J69" s="92"/>
      <c r="K69" s="92"/>
      <c r="L69" s="92"/>
      <c r="M69" s="92"/>
      <c r="N69" s="92"/>
      <c r="O69" s="86" t="s">
        <v>241</v>
      </c>
      <c r="P69" s="86"/>
      <c r="Q69" s="14">
        <v>25</v>
      </c>
      <c r="R69" s="14">
        <v>3</v>
      </c>
      <c r="S69" s="14"/>
      <c r="T69" s="90"/>
      <c r="U69" s="14"/>
      <c r="V69" s="14"/>
      <c r="W69" s="14"/>
      <c r="X69" s="86"/>
      <c r="Y69" s="59">
        <f ca="1">Table29[[#This Row],[5/9/2025]]+2-TODAY()</f>
        <v>-74</v>
      </c>
      <c r="Z69" s="14">
        <f>IF(ISBLANK(Table29[[#This Row],[Roster Received By]]),1,0)</f>
        <v>1</v>
      </c>
      <c r="AA69" s="14">
        <f ca="1">IF(Table29[[#This Row],[5/5/2025]]&gt;TODAY(),1,)</f>
        <v>0</v>
      </c>
    </row>
    <row r="70" spans="1:27" s="93" customFormat="1" x14ac:dyDescent="0.25">
      <c r="A70" s="52"/>
      <c r="B70" s="86" t="s">
        <v>29</v>
      </c>
      <c r="C70" s="87" t="s">
        <v>123</v>
      </c>
      <c r="D70" s="87" t="s">
        <v>124</v>
      </c>
      <c r="E70" s="86" t="s">
        <v>172</v>
      </c>
      <c r="F70" s="56">
        <v>45754</v>
      </c>
      <c r="G70" s="56">
        <v>45756</v>
      </c>
      <c r="H70" s="88">
        <v>0.33333333333333331</v>
      </c>
      <c r="I70" s="95"/>
      <c r="J70" s="89"/>
      <c r="K70" s="89"/>
      <c r="L70" s="89"/>
      <c r="M70" s="89"/>
      <c r="N70" s="89"/>
      <c r="O70" s="86" t="s">
        <v>241</v>
      </c>
      <c r="P70" s="86"/>
      <c r="Q70" s="14">
        <v>25</v>
      </c>
      <c r="R70" s="14">
        <v>3</v>
      </c>
      <c r="S70" s="14"/>
      <c r="T70" s="90"/>
      <c r="U70" s="14"/>
      <c r="V70" s="14"/>
      <c r="W70" s="90"/>
      <c r="X70" s="86"/>
      <c r="Y70" s="59">
        <f ca="1">Table29[[#This Row],[5/9/2025]]+2-TODAY()</f>
        <v>-60</v>
      </c>
      <c r="Z70" s="14">
        <f>IF(ISBLANK(Table29[[#This Row],[Roster Received By]]),1,0)</f>
        <v>1</v>
      </c>
      <c r="AA70" s="14">
        <f ca="1">IF(Table29[[#This Row],[5/5/2025]]&gt;TODAY(),1,)</f>
        <v>0</v>
      </c>
    </row>
    <row r="71" spans="1:27" s="93" customFormat="1" x14ac:dyDescent="0.25">
      <c r="A71" s="52"/>
      <c r="B71" s="86" t="s">
        <v>29</v>
      </c>
      <c r="C71" s="87" t="s">
        <v>123</v>
      </c>
      <c r="D71" s="87" t="s">
        <v>124</v>
      </c>
      <c r="E71" s="160" t="s">
        <v>161</v>
      </c>
      <c r="F71" s="161">
        <v>45782</v>
      </c>
      <c r="G71" s="161">
        <v>45784</v>
      </c>
      <c r="H71" s="162">
        <v>0.33333333333333331</v>
      </c>
      <c r="I71" s="88"/>
      <c r="J71" s="92"/>
      <c r="K71" s="92"/>
      <c r="L71" s="92"/>
      <c r="M71" s="92"/>
      <c r="N71" s="92"/>
      <c r="O71" s="86" t="s">
        <v>241</v>
      </c>
      <c r="P71" s="86"/>
      <c r="Q71" s="14">
        <v>25</v>
      </c>
      <c r="R71" s="14">
        <v>3</v>
      </c>
      <c r="S71" s="14"/>
      <c r="T71" s="90"/>
      <c r="U71" s="14"/>
      <c r="V71" s="14"/>
      <c r="W71" s="14"/>
      <c r="X71" s="86"/>
      <c r="Y71" s="59">
        <f ca="1">Table29[[#This Row],[5/9/2025]]+2-TODAY()</f>
        <v>-32</v>
      </c>
      <c r="Z71" s="14">
        <f>IF(ISBLANK(Table29[[#This Row],[Roster Received By]]),1,0)</f>
        <v>1</v>
      </c>
      <c r="AA71" s="14">
        <f ca="1">IF(Table29[[#This Row],[5/5/2025]]&gt;TODAY(),1,)</f>
        <v>0</v>
      </c>
    </row>
    <row r="72" spans="1:27" s="93" customFormat="1" x14ac:dyDescent="0.25">
      <c r="A72" s="52"/>
      <c r="B72" s="86" t="s">
        <v>29</v>
      </c>
      <c r="C72" s="87" t="s">
        <v>123</v>
      </c>
      <c r="D72" s="87" t="s">
        <v>124</v>
      </c>
      <c r="E72" s="86" t="s">
        <v>169</v>
      </c>
      <c r="F72" s="89">
        <v>45789</v>
      </c>
      <c r="G72" s="89">
        <v>45791</v>
      </c>
      <c r="H72" s="88">
        <v>0.33333333333333331</v>
      </c>
      <c r="I72" s="88"/>
      <c r="J72" s="92"/>
      <c r="K72" s="92"/>
      <c r="L72" s="92"/>
      <c r="M72" s="92"/>
      <c r="N72" s="92"/>
      <c r="O72" s="86" t="s">
        <v>241</v>
      </c>
      <c r="P72" s="86"/>
      <c r="Q72" s="14">
        <v>25</v>
      </c>
      <c r="R72" s="14">
        <v>3</v>
      </c>
      <c r="S72" s="14"/>
      <c r="T72" s="90"/>
      <c r="U72" s="14"/>
      <c r="V72" s="14"/>
      <c r="W72" s="14"/>
      <c r="X72" s="86"/>
      <c r="Y72" s="59">
        <f ca="1">Table29[[#This Row],[5/9/2025]]+2-TODAY()</f>
        <v>-25</v>
      </c>
      <c r="Z72" s="14">
        <f>IF(ISBLANK(Table29[[#This Row],[Roster Received By]]),1,0)</f>
        <v>1</v>
      </c>
      <c r="AA72" s="14">
        <f ca="1">IF(Table29[[#This Row],[5/5/2025]]&gt;TODAY(),1,)</f>
        <v>0</v>
      </c>
    </row>
    <row r="73" spans="1:27" s="93" customFormat="1" x14ac:dyDescent="0.25">
      <c r="A73" s="52"/>
      <c r="B73" s="86" t="s">
        <v>29</v>
      </c>
      <c r="C73" s="87" t="s">
        <v>123</v>
      </c>
      <c r="D73" s="87" t="s">
        <v>124</v>
      </c>
      <c r="E73" s="86" t="s">
        <v>416</v>
      </c>
      <c r="F73" s="89">
        <v>45817</v>
      </c>
      <c r="G73" s="89">
        <v>45819</v>
      </c>
      <c r="H73" s="88">
        <v>0.33333333333333331</v>
      </c>
      <c r="I73" s="88"/>
      <c r="J73" s="92"/>
      <c r="K73" s="92"/>
      <c r="L73" s="92"/>
      <c r="M73" s="92"/>
      <c r="N73" s="92"/>
      <c r="O73" s="86" t="s">
        <v>241</v>
      </c>
      <c r="P73" s="86"/>
      <c r="Q73" s="14">
        <v>25</v>
      </c>
      <c r="R73" s="14">
        <v>3</v>
      </c>
      <c r="S73" s="14"/>
      <c r="T73" s="90"/>
      <c r="U73" s="14"/>
      <c r="V73" s="14"/>
      <c r="W73" s="14"/>
      <c r="X73" s="86"/>
      <c r="Y73" s="59">
        <f ca="1">Table29[[#This Row],[5/9/2025]]+2-TODAY()</f>
        <v>3</v>
      </c>
      <c r="Z73" s="14">
        <f>IF(ISBLANK(Table29[[#This Row],[Roster Received By]]),1,0)</f>
        <v>1</v>
      </c>
      <c r="AA73" s="14">
        <f ca="1">IF(Table29[[#This Row],[5/5/2025]]&gt;TODAY(),1,)</f>
        <v>0</v>
      </c>
    </row>
    <row r="74" spans="1:27" s="122" customFormat="1" x14ac:dyDescent="0.25">
      <c r="A74" s="86"/>
      <c r="B74" s="86" t="s">
        <v>29</v>
      </c>
      <c r="C74" s="87" t="s">
        <v>123</v>
      </c>
      <c r="D74" s="87" t="s">
        <v>124</v>
      </c>
      <c r="E74" s="86" t="s">
        <v>174</v>
      </c>
      <c r="F74" s="89">
        <v>45852</v>
      </c>
      <c r="G74" s="89">
        <v>45854</v>
      </c>
      <c r="H74" s="88">
        <v>0.33333333333333331</v>
      </c>
      <c r="I74" s="92"/>
      <c r="J74" s="92"/>
      <c r="K74" s="92"/>
      <c r="L74" s="92"/>
      <c r="M74" s="92"/>
      <c r="N74" s="92"/>
      <c r="O74" s="86" t="s">
        <v>241</v>
      </c>
      <c r="P74" s="86"/>
      <c r="Q74" s="14">
        <v>25</v>
      </c>
      <c r="R74" s="14">
        <v>3</v>
      </c>
      <c r="S74" s="90"/>
      <c r="T74" s="90"/>
      <c r="U74" s="14"/>
      <c r="V74" s="14"/>
      <c r="W74" s="90"/>
      <c r="X74" s="86"/>
      <c r="Y74" s="59">
        <f ca="1">Table29[[#This Row],[5/9/2025]]+2-TODAY()</f>
        <v>38</v>
      </c>
      <c r="Z74" s="14">
        <f>IF(ISBLANK(Table29[[#This Row],[Roster Received By]]),1,0)</f>
        <v>1</v>
      </c>
      <c r="AA74" s="14">
        <f ca="1">IF(Table29[[#This Row],[5/5/2025]]&gt;TODAY(),1,)</f>
        <v>1</v>
      </c>
    </row>
    <row r="75" spans="1:27" s="93" customFormat="1" x14ac:dyDescent="0.25">
      <c r="A75" s="87"/>
      <c r="B75" s="86" t="s">
        <v>29</v>
      </c>
      <c r="C75" s="87" t="s">
        <v>123</v>
      </c>
      <c r="D75" s="87" t="s">
        <v>124</v>
      </c>
      <c r="E75" s="86" t="s">
        <v>250</v>
      </c>
      <c r="F75" s="89">
        <v>45859</v>
      </c>
      <c r="G75" s="89">
        <v>45861</v>
      </c>
      <c r="H75" s="88">
        <v>0.33333333333333331</v>
      </c>
      <c r="I75" s="92"/>
      <c r="J75" s="89"/>
      <c r="K75" s="89"/>
      <c r="L75" s="89"/>
      <c r="M75" s="89"/>
      <c r="N75" s="89"/>
      <c r="O75" s="86" t="s">
        <v>241</v>
      </c>
      <c r="P75" s="86"/>
      <c r="Q75" s="14">
        <v>25</v>
      </c>
      <c r="R75" s="14">
        <v>3</v>
      </c>
      <c r="S75" s="94"/>
      <c r="T75" s="90"/>
      <c r="U75" s="14"/>
      <c r="V75" s="14"/>
      <c r="W75" s="14"/>
      <c r="X75" s="86"/>
      <c r="Y75" s="59">
        <f ca="1">Table29[[#This Row],[5/9/2025]]+2-TODAY()</f>
        <v>45</v>
      </c>
      <c r="Z75" s="14">
        <f>IF(ISBLANK(Table29[[#This Row],[Roster Received By]]),1,0)</f>
        <v>1</v>
      </c>
      <c r="AA75" s="14">
        <f ca="1">IF(Table29[[#This Row],[5/5/2025]]&gt;TODAY(),1,)</f>
        <v>1</v>
      </c>
    </row>
    <row r="76" spans="1:27" s="93" customFormat="1" x14ac:dyDescent="0.25">
      <c r="A76" s="52"/>
      <c r="B76" s="86" t="s">
        <v>29</v>
      </c>
      <c r="C76" s="87" t="s">
        <v>123</v>
      </c>
      <c r="D76" s="87" t="s">
        <v>124</v>
      </c>
      <c r="E76" s="86" t="s">
        <v>169</v>
      </c>
      <c r="F76" s="89">
        <v>45873</v>
      </c>
      <c r="G76" s="89">
        <v>45875</v>
      </c>
      <c r="H76" s="88">
        <v>0.33333333333333331</v>
      </c>
      <c r="I76" s="88"/>
      <c r="J76" s="92"/>
      <c r="K76" s="92"/>
      <c r="L76" s="92"/>
      <c r="M76" s="92"/>
      <c r="N76" s="92"/>
      <c r="O76" s="86" t="s">
        <v>241</v>
      </c>
      <c r="P76" s="86"/>
      <c r="Q76" s="14">
        <v>25</v>
      </c>
      <c r="R76" s="14">
        <v>3</v>
      </c>
      <c r="S76" s="14"/>
      <c r="T76" s="90"/>
      <c r="U76" s="14"/>
      <c r="V76" s="14"/>
      <c r="W76" s="14"/>
      <c r="X76" s="86"/>
      <c r="Y76" s="59">
        <f ca="1">Table29[[#This Row],[5/9/2025]]+2-TODAY()</f>
        <v>59</v>
      </c>
      <c r="Z76" s="14">
        <f>IF(ISBLANK(Table29[[#This Row],[Roster Received By]]),1,0)</f>
        <v>1</v>
      </c>
      <c r="AA76" s="14">
        <f ca="1">IF(Table29[[#This Row],[5/5/2025]]&gt;TODAY(),1,)</f>
        <v>1</v>
      </c>
    </row>
    <row r="77" spans="1:27" s="93" customFormat="1" x14ac:dyDescent="0.25">
      <c r="A77" s="52"/>
      <c r="B77" s="86" t="s">
        <v>29</v>
      </c>
      <c r="C77" s="87" t="s">
        <v>123</v>
      </c>
      <c r="D77" s="87" t="s">
        <v>124</v>
      </c>
      <c r="E77" s="86" t="s">
        <v>166</v>
      </c>
      <c r="F77" s="89">
        <v>45873</v>
      </c>
      <c r="G77" s="89">
        <v>45875</v>
      </c>
      <c r="H77" s="88">
        <v>0.33333333333333331</v>
      </c>
      <c r="I77" s="88"/>
      <c r="J77" s="88"/>
      <c r="K77" s="88"/>
      <c r="L77" s="88"/>
      <c r="M77" s="88"/>
      <c r="N77" s="88"/>
      <c r="O77" s="86" t="s">
        <v>241</v>
      </c>
      <c r="P77" s="86"/>
      <c r="Q77" s="14">
        <v>25</v>
      </c>
      <c r="R77" s="14">
        <v>3</v>
      </c>
      <c r="S77" s="14"/>
      <c r="T77" s="90"/>
      <c r="U77" s="14"/>
      <c r="V77" s="14"/>
      <c r="W77" s="14"/>
      <c r="X77" s="86"/>
      <c r="Y77" s="59">
        <f ca="1">Table29[[#This Row],[5/9/2025]]+2-TODAY()</f>
        <v>59</v>
      </c>
      <c r="Z77" s="14">
        <f>IF(ISBLANK(Table29[[#This Row],[Roster Received By]]),1,0)</f>
        <v>1</v>
      </c>
      <c r="AA77" s="14">
        <f ca="1">IF(Table29[[#This Row],[5/5/2025]]&gt;TODAY(),1,)</f>
        <v>1</v>
      </c>
    </row>
    <row r="78" spans="1:27" s="93" customFormat="1" x14ac:dyDescent="0.25">
      <c r="A78" s="114"/>
      <c r="B78" s="86" t="s">
        <v>29</v>
      </c>
      <c r="C78" s="87" t="s">
        <v>123</v>
      </c>
      <c r="D78" s="87" t="s">
        <v>124</v>
      </c>
      <c r="E78" s="54" t="s">
        <v>179</v>
      </c>
      <c r="F78" s="89">
        <v>45887</v>
      </c>
      <c r="G78" s="89">
        <v>45889</v>
      </c>
      <c r="H78" s="88">
        <v>0.33333333333333331</v>
      </c>
      <c r="I78" s="88"/>
      <c r="J78" s="92"/>
      <c r="K78" s="92"/>
      <c r="L78" s="92"/>
      <c r="M78" s="92"/>
      <c r="N78" s="92"/>
      <c r="O78" s="86" t="s">
        <v>241</v>
      </c>
      <c r="P78" s="86"/>
      <c r="Q78" s="14">
        <v>25</v>
      </c>
      <c r="R78" s="14">
        <v>3</v>
      </c>
      <c r="S78" s="14"/>
      <c r="T78" s="90"/>
      <c r="U78" s="14"/>
      <c r="V78" s="14"/>
      <c r="W78" s="90"/>
      <c r="X78" s="86"/>
      <c r="Y78" s="59">
        <f ca="1">Table29[[#This Row],[5/9/2025]]+2-TODAY()</f>
        <v>73</v>
      </c>
      <c r="Z78" s="14">
        <f>IF(ISBLANK(Table29[[#This Row],[Roster Received By]]),1,0)</f>
        <v>1</v>
      </c>
      <c r="AA78" s="14">
        <f ca="1">IF(Table29[[#This Row],[5/5/2025]]&gt;TODAY(),1,)</f>
        <v>1</v>
      </c>
    </row>
    <row r="79" spans="1:27" s="93" customFormat="1" x14ac:dyDescent="0.25">
      <c r="A79" s="52"/>
      <c r="B79" s="86" t="s">
        <v>29</v>
      </c>
      <c r="C79" s="87" t="s">
        <v>123</v>
      </c>
      <c r="D79" s="87" t="s">
        <v>124</v>
      </c>
      <c r="E79" s="86" t="s">
        <v>290</v>
      </c>
      <c r="F79" s="89">
        <v>45902</v>
      </c>
      <c r="G79" s="89">
        <v>45904</v>
      </c>
      <c r="H79" s="88">
        <v>0.33333333333333331</v>
      </c>
      <c r="I79" s="92"/>
      <c r="J79" s="89"/>
      <c r="K79" s="89"/>
      <c r="L79" s="89"/>
      <c r="M79" s="89"/>
      <c r="N79" s="89"/>
      <c r="O79" s="86" t="s">
        <v>241</v>
      </c>
      <c r="P79" s="86"/>
      <c r="Q79" s="90">
        <v>25</v>
      </c>
      <c r="R79" s="91">
        <v>3</v>
      </c>
      <c r="S79" s="90"/>
      <c r="T79" s="90"/>
      <c r="U79" s="14"/>
      <c r="V79" s="14"/>
      <c r="W79" s="14"/>
      <c r="X79" s="86"/>
      <c r="Y79" s="59">
        <f ca="1">Table29[[#This Row],[5/9/2025]]+2-TODAY()</f>
        <v>88</v>
      </c>
      <c r="Z79" s="14">
        <f>IF(ISBLANK(Table29[[#This Row],[Roster Received By]]),1,0)</f>
        <v>1</v>
      </c>
      <c r="AA79" s="14">
        <f ca="1">IF(Table29[[#This Row],[5/5/2025]]&gt;TODAY(),1,)</f>
        <v>1</v>
      </c>
    </row>
    <row r="80" spans="1:27" s="93" customFormat="1" x14ac:dyDescent="0.25">
      <c r="A80" s="52"/>
      <c r="B80" s="86" t="s">
        <v>29</v>
      </c>
      <c r="C80" s="87" t="s">
        <v>123</v>
      </c>
      <c r="D80" s="87" t="s">
        <v>124</v>
      </c>
      <c r="E80" s="86" t="s">
        <v>305</v>
      </c>
      <c r="F80" s="89">
        <v>45908</v>
      </c>
      <c r="G80" s="89">
        <v>45910</v>
      </c>
      <c r="H80" s="88">
        <v>0.33333333333333331</v>
      </c>
      <c r="I80" s="88"/>
      <c r="J80" s="88"/>
      <c r="K80" s="88"/>
      <c r="L80" s="88"/>
      <c r="M80" s="88"/>
      <c r="N80" s="88"/>
      <c r="O80" s="86" t="s">
        <v>241</v>
      </c>
      <c r="P80" s="86"/>
      <c r="Q80" s="14">
        <v>25</v>
      </c>
      <c r="R80" s="14">
        <v>3</v>
      </c>
      <c r="S80" s="14"/>
      <c r="T80" s="90"/>
      <c r="U80" s="14"/>
      <c r="V80" s="14"/>
      <c r="W80" s="14"/>
      <c r="X80" s="86"/>
      <c r="Y80" s="59">
        <f ca="1">Table29[[#This Row],[5/9/2025]]+2-TODAY()</f>
        <v>94</v>
      </c>
      <c r="Z80" s="14">
        <f>IF(ISBLANK(Table29[[#This Row],[Roster Received By]]),1,0)</f>
        <v>1</v>
      </c>
      <c r="AA80" s="14">
        <f ca="1">IF(Table29[[#This Row],[5/5/2025]]&gt;TODAY(),1,)</f>
        <v>1</v>
      </c>
    </row>
    <row r="81" spans="1:27" s="93" customFormat="1" x14ac:dyDescent="0.25">
      <c r="A81" s="52"/>
      <c r="B81" s="86" t="s">
        <v>29</v>
      </c>
      <c r="C81" s="87" t="s">
        <v>123</v>
      </c>
      <c r="D81" s="87" t="s">
        <v>124</v>
      </c>
      <c r="E81" s="86" t="s">
        <v>173</v>
      </c>
      <c r="F81" s="89">
        <v>45908</v>
      </c>
      <c r="G81" s="89">
        <v>45910</v>
      </c>
      <c r="H81" s="88">
        <v>0.33333333333333331</v>
      </c>
      <c r="I81" s="88"/>
      <c r="J81" s="92"/>
      <c r="K81" s="92"/>
      <c r="L81" s="92"/>
      <c r="M81" s="92"/>
      <c r="N81" s="92"/>
      <c r="O81" s="86" t="s">
        <v>241</v>
      </c>
      <c r="P81" s="86"/>
      <c r="Q81" s="14">
        <v>25</v>
      </c>
      <c r="R81" s="14">
        <v>3</v>
      </c>
      <c r="S81" s="14"/>
      <c r="T81" s="90"/>
      <c r="U81" s="14"/>
      <c r="V81" s="14"/>
      <c r="W81" s="14"/>
      <c r="X81" s="86"/>
      <c r="Y81" s="59">
        <f ca="1">Table29[[#This Row],[5/9/2025]]+2-TODAY()</f>
        <v>94</v>
      </c>
      <c r="Z81" s="14">
        <f>IF(ISBLANK(Table29[[#This Row],[Roster Received By]]),1,0)</f>
        <v>1</v>
      </c>
      <c r="AA81" s="14">
        <f ca="1">IF(Table29[[#This Row],[5/5/2025]]&gt;TODAY(),1,)</f>
        <v>1</v>
      </c>
    </row>
    <row r="82" spans="1:27" s="93" customFormat="1" x14ac:dyDescent="0.25">
      <c r="A82" s="52" t="s">
        <v>524</v>
      </c>
      <c r="B82" s="86" t="s">
        <v>31</v>
      </c>
      <c r="C82" s="87" t="s">
        <v>125</v>
      </c>
      <c r="D82" s="87" t="s">
        <v>126</v>
      </c>
      <c r="E82" s="86" t="s">
        <v>86</v>
      </c>
      <c r="F82" s="89">
        <v>45670</v>
      </c>
      <c r="G82" s="89">
        <v>45670</v>
      </c>
      <c r="H82" s="88"/>
      <c r="I82" s="88">
        <v>0.33333333333333331</v>
      </c>
      <c r="J82" s="88"/>
      <c r="K82" s="88"/>
      <c r="L82" s="88"/>
      <c r="M82" s="88"/>
      <c r="N82" s="88"/>
      <c r="O82" s="86" t="s">
        <v>241</v>
      </c>
      <c r="P82" s="86"/>
      <c r="Q82" s="14">
        <v>30</v>
      </c>
      <c r="R82" s="14">
        <v>1</v>
      </c>
      <c r="S82" s="14"/>
      <c r="T82" s="90"/>
      <c r="U82" s="14"/>
      <c r="V82" s="14"/>
      <c r="W82" s="14"/>
      <c r="X82" s="86"/>
      <c r="Y82" s="59">
        <f ca="1">Table29[[#This Row],[5/9/2025]]+2-TODAY()</f>
        <v>-146</v>
      </c>
      <c r="Z82" s="14">
        <f>IF(ISBLANK(Table29[[#This Row],[Roster Received By]]),1,0)</f>
        <v>1</v>
      </c>
      <c r="AA82" s="14">
        <f ca="1">IF(Table29[[#This Row],[5/5/2025]]&gt;TODAY(),1,)</f>
        <v>0</v>
      </c>
    </row>
    <row r="83" spans="1:27" s="93" customFormat="1" x14ac:dyDescent="0.25">
      <c r="A83" s="52"/>
      <c r="B83" s="86" t="s">
        <v>31</v>
      </c>
      <c r="C83" s="87" t="s">
        <v>125</v>
      </c>
      <c r="D83" s="87" t="s">
        <v>126</v>
      </c>
      <c r="E83" s="86" t="s">
        <v>242</v>
      </c>
      <c r="F83" s="56">
        <v>45673</v>
      </c>
      <c r="G83" s="56">
        <v>45673</v>
      </c>
      <c r="H83" s="88">
        <v>0.33333333333333331</v>
      </c>
      <c r="I83" s="92"/>
      <c r="J83" s="89"/>
      <c r="K83" s="89"/>
      <c r="L83" s="89"/>
      <c r="M83" s="89"/>
      <c r="N83" s="89"/>
      <c r="O83" s="86" t="s">
        <v>241</v>
      </c>
      <c r="P83" s="86"/>
      <c r="Q83" s="90">
        <v>30</v>
      </c>
      <c r="R83" s="91">
        <v>1</v>
      </c>
      <c r="S83" s="90"/>
      <c r="T83" s="90"/>
      <c r="U83" s="14"/>
      <c r="V83" s="14"/>
      <c r="W83" s="14"/>
      <c r="X83" s="86"/>
      <c r="Y83" s="59">
        <f ca="1">Table29[[#This Row],[5/9/2025]]+2-TODAY()</f>
        <v>-143</v>
      </c>
      <c r="Z83" s="14">
        <f>IF(ISBLANK(Table29[[#This Row],[Roster Received By]]),1,0)</f>
        <v>1</v>
      </c>
      <c r="AA83" s="14">
        <f ca="1">IF(Table29[[#This Row],[5/5/2025]]&gt;TODAY(),1,)</f>
        <v>0</v>
      </c>
    </row>
    <row r="84" spans="1:27" s="93" customFormat="1" x14ac:dyDescent="0.25">
      <c r="A84" s="52"/>
      <c r="B84" s="86" t="s">
        <v>31</v>
      </c>
      <c r="C84" s="87" t="s">
        <v>125</v>
      </c>
      <c r="D84" s="87" t="s">
        <v>126</v>
      </c>
      <c r="E84" s="86" t="s">
        <v>169</v>
      </c>
      <c r="F84" s="89">
        <v>45694</v>
      </c>
      <c r="G84" s="89">
        <v>45694</v>
      </c>
      <c r="H84" s="88">
        <v>0.33333333333333331</v>
      </c>
      <c r="I84" s="88"/>
      <c r="J84" s="88"/>
      <c r="K84" s="88"/>
      <c r="L84" s="88"/>
      <c r="M84" s="88"/>
      <c r="N84" s="88"/>
      <c r="O84" s="86" t="s">
        <v>241</v>
      </c>
      <c r="P84" s="86"/>
      <c r="Q84" s="14">
        <v>30</v>
      </c>
      <c r="R84" s="14">
        <v>1</v>
      </c>
      <c r="S84" s="14"/>
      <c r="T84" s="90"/>
      <c r="U84" s="14"/>
      <c r="V84" s="14"/>
      <c r="W84" s="14"/>
      <c r="X84" s="86"/>
      <c r="Y84" s="59">
        <f ca="1">Table29[[#This Row],[5/9/2025]]+2-TODAY()</f>
        <v>-122</v>
      </c>
      <c r="Z84" s="14">
        <f>IF(ISBLANK(Table29[[#This Row],[Roster Received By]]),1,0)</f>
        <v>1</v>
      </c>
      <c r="AA84" s="14">
        <f ca="1">IF(Table29[[#This Row],[5/5/2025]]&gt;TODAY(),1,)</f>
        <v>0</v>
      </c>
    </row>
    <row r="85" spans="1:27" s="93" customFormat="1" x14ac:dyDescent="0.25">
      <c r="A85" s="52"/>
      <c r="B85" s="86" t="s">
        <v>31</v>
      </c>
      <c r="C85" s="87" t="s">
        <v>125</v>
      </c>
      <c r="D85" s="87" t="s">
        <v>126</v>
      </c>
      <c r="E85" s="86" t="s">
        <v>157</v>
      </c>
      <c r="F85" s="89">
        <v>45701</v>
      </c>
      <c r="G85" s="89">
        <v>45701</v>
      </c>
      <c r="H85" s="88">
        <v>0.33333333333333331</v>
      </c>
      <c r="I85" s="88"/>
      <c r="J85" s="88"/>
      <c r="K85" s="88"/>
      <c r="L85" s="88"/>
      <c r="M85" s="88"/>
      <c r="N85" s="88"/>
      <c r="O85" s="86" t="s">
        <v>241</v>
      </c>
      <c r="P85" s="86"/>
      <c r="Q85" s="14">
        <v>30</v>
      </c>
      <c r="R85" s="14">
        <v>1</v>
      </c>
      <c r="S85" s="90"/>
      <c r="T85" s="90"/>
      <c r="U85" s="14"/>
      <c r="V85" s="14"/>
      <c r="W85" s="14"/>
      <c r="X85" s="86"/>
      <c r="Y85" s="59">
        <f ca="1">Table29[[#This Row],[5/9/2025]]+2-TODAY()</f>
        <v>-115</v>
      </c>
      <c r="Z85" s="14">
        <f>IF(ISBLANK(Table29[[#This Row],[Roster Received By]]),1,0)</f>
        <v>1</v>
      </c>
      <c r="AA85" s="14">
        <f ca="1">IF(Table29[[#This Row],[5/5/2025]]&gt;TODAY(),1,)</f>
        <v>0</v>
      </c>
    </row>
    <row r="86" spans="1:27" s="93" customFormat="1" x14ac:dyDescent="0.25">
      <c r="A86" s="52" t="s">
        <v>523</v>
      </c>
      <c r="B86" s="86" t="s">
        <v>31</v>
      </c>
      <c r="C86" s="87" t="s">
        <v>125</v>
      </c>
      <c r="D86" s="87" t="s">
        <v>126</v>
      </c>
      <c r="E86" s="86" t="s">
        <v>284</v>
      </c>
      <c r="F86" s="89">
        <v>45701</v>
      </c>
      <c r="G86" s="89">
        <v>45701</v>
      </c>
      <c r="H86" s="88">
        <v>0.33333333333333331</v>
      </c>
      <c r="I86" s="88"/>
      <c r="J86" s="88"/>
      <c r="K86" s="88"/>
      <c r="L86" s="88"/>
      <c r="M86" s="88"/>
      <c r="N86" s="88"/>
      <c r="O86" s="86" t="s">
        <v>241</v>
      </c>
      <c r="P86" s="86"/>
      <c r="Q86" s="14">
        <v>30</v>
      </c>
      <c r="R86" s="14">
        <v>1</v>
      </c>
      <c r="S86" s="14"/>
      <c r="T86" s="90"/>
      <c r="U86" s="14"/>
      <c r="V86" s="14"/>
      <c r="W86" s="14"/>
      <c r="X86" s="86"/>
      <c r="Y86" s="59">
        <f ca="1">Table29[[#This Row],[5/9/2025]]+2-TODAY()</f>
        <v>-115</v>
      </c>
      <c r="Z86" s="14">
        <f>IF(ISBLANK(Table29[[#This Row],[Roster Received By]]),1,0)</f>
        <v>1</v>
      </c>
      <c r="AA86" s="14">
        <f ca="1">IF(Table29[[#This Row],[5/5/2025]]&gt;TODAY(),1,)</f>
        <v>0</v>
      </c>
    </row>
    <row r="87" spans="1:27" s="52" customFormat="1" x14ac:dyDescent="0.25">
      <c r="B87" s="86" t="s">
        <v>31</v>
      </c>
      <c r="C87" s="87" t="s">
        <v>125</v>
      </c>
      <c r="D87" s="87" t="s">
        <v>126</v>
      </c>
      <c r="E87" s="86" t="s">
        <v>157</v>
      </c>
      <c r="F87" s="89">
        <v>45702</v>
      </c>
      <c r="G87" s="89">
        <v>45702</v>
      </c>
      <c r="H87" s="88">
        <v>0.33333333333333331</v>
      </c>
      <c r="I87" s="88"/>
      <c r="J87" s="88"/>
      <c r="K87" s="88"/>
      <c r="L87" s="88"/>
      <c r="M87" s="88"/>
      <c r="N87" s="88"/>
      <c r="O87" s="86" t="s">
        <v>241</v>
      </c>
      <c r="P87" s="86"/>
      <c r="Q87" s="14">
        <v>30</v>
      </c>
      <c r="R87" s="14">
        <v>1</v>
      </c>
      <c r="S87" s="14"/>
      <c r="T87" s="90"/>
      <c r="U87" s="14"/>
      <c r="V87" s="14"/>
      <c r="W87" s="14"/>
      <c r="X87" s="86"/>
      <c r="Y87" s="59">
        <f ca="1">Table29[[#This Row],[5/9/2025]]+2-TODAY()</f>
        <v>-114</v>
      </c>
      <c r="Z87" s="14">
        <f>IF(ISBLANK(Table29[[#This Row],[Roster Received By]]),1,0)</f>
        <v>1</v>
      </c>
      <c r="AA87" s="14">
        <f ca="1">IF(Table29[[#This Row],[5/5/2025]]&gt;TODAY(),1,)</f>
        <v>0</v>
      </c>
    </row>
    <row r="88" spans="1:27" s="122" customFormat="1" x14ac:dyDescent="0.25">
      <c r="A88" s="52" t="s">
        <v>523</v>
      </c>
      <c r="B88" s="86" t="s">
        <v>31</v>
      </c>
      <c r="C88" s="87" t="s">
        <v>125</v>
      </c>
      <c r="D88" s="87" t="s">
        <v>126</v>
      </c>
      <c r="E88" s="86" t="s">
        <v>284</v>
      </c>
      <c r="F88" s="89">
        <v>45702</v>
      </c>
      <c r="G88" s="89">
        <v>45702</v>
      </c>
      <c r="H88" s="88">
        <v>0.33333333333333331</v>
      </c>
      <c r="I88" s="88"/>
      <c r="J88" s="88"/>
      <c r="K88" s="88"/>
      <c r="L88" s="88"/>
      <c r="M88" s="88"/>
      <c r="N88" s="88"/>
      <c r="O88" s="86" t="s">
        <v>241</v>
      </c>
      <c r="P88" s="86"/>
      <c r="Q88" s="14">
        <v>30</v>
      </c>
      <c r="R88" s="14">
        <v>1</v>
      </c>
      <c r="S88" s="14"/>
      <c r="T88" s="90"/>
      <c r="U88" s="14"/>
      <c r="V88" s="14"/>
      <c r="W88" s="14"/>
      <c r="X88" s="86"/>
      <c r="Y88" s="59">
        <f ca="1">Table29[[#This Row],[5/9/2025]]+2-TODAY()</f>
        <v>-114</v>
      </c>
      <c r="Z88" s="14">
        <f>IF(ISBLANK(Table29[[#This Row],[Roster Received By]]),1,0)</f>
        <v>1</v>
      </c>
      <c r="AA88" s="14">
        <f ca="1">IF(Table29[[#This Row],[5/5/2025]]&gt;TODAY(),1,)</f>
        <v>0</v>
      </c>
    </row>
    <row r="89" spans="1:27" s="122" customFormat="1" x14ac:dyDescent="0.25">
      <c r="A89" s="52" t="s">
        <v>525</v>
      </c>
      <c r="B89" s="86" t="s">
        <v>31</v>
      </c>
      <c r="C89" s="87" t="s">
        <v>125</v>
      </c>
      <c r="D89" s="87" t="s">
        <v>126</v>
      </c>
      <c r="E89" s="86" t="s">
        <v>86</v>
      </c>
      <c r="F89" s="89">
        <v>45713</v>
      </c>
      <c r="G89" s="89">
        <v>45713</v>
      </c>
      <c r="H89" s="88"/>
      <c r="I89" s="163">
        <v>8.3333333333333329E-2</v>
      </c>
      <c r="J89" s="88"/>
      <c r="K89" s="88"/>
      <c r="L89" s="88">
        <v>0.33333333333333331</v>
      </c>
      <c r="M89" s="88"/>
      <c r="N89" s="88"/>
      <c r="O89" s="86" t="s">
        <v>241</v>
      </c>
      <c r="P89" s="86"/>
      <c r="Q89" s="14">
        <v>30</v>
      </c>
      <c r="R89" s="14">
        <v>1</v>
      </c>
      <c r="S89" s="14"/>
      <c r="T89" s="90"/>
      <c r="U89" s="14"/>
      <c r="V89" s="14"/>
      <c r="W89" s="87"/>
      <c r="X89" s="86"/>
      <c r="Y89" s="59">
        <f ca="1">Table29[[#This Row],[5/9/2025]]+2-TODAY()</f>
        <v>-103</v>
      </c>
      <c r="Z89" s="14">
        <f>IF(ISBLANK(Table29[[#This Row],[Roster Received By]]),1,0)</f>
        <v>1</v>
      </c>
      <c r="AA89" s="14">
        <f ca="1">IF(Table29[[#This Row],[5/5/2025]]&gt;TODAY(),1,)</f>
        <v>0</v>
      </c>
    </row>
    <row r="90" spans="1:27" s="122" customFormat="1" x14ac:dyDescent="0.25">
      <c r="A90" s="52"/>
      <c r="B90" s="86" t="s">
        <v>31</v>
      </c>
      <c r="C90" s="87" t="s">
        <v>125</v>
      </c>
      <c r="D90" s="87" t="s">
        <v>126</v>
      </c>
      <c r="E90" s="54" t="s">
        <v>281</v>
      </c>
      <c r="F90" s="89">
        <v>45722</v>
      </c>
      <c r="G90" s="89">
        <v>45722</v>
      </c>
      <c r="H90" s="88">
        <v>0.33333333333333331</v>
      </c>
      <c r="I90" s="88"/>
      <c r="J90" s="92"/>
      <c r="K90" s="92"/>
      <c r="L90" s="92"/>
      <c r="M90" s="92"/>
      <c r="N90" s="92"/>
      <c r="O90" s="86" t="s">
        <v>241</v>
      </c>
      <c r="P90" s="86"/>
      <c r="Q90" s="14">
        <v>30</v>
      </c>
      <c r="R90" s="14">
        <v>1</v>
      </c>
      <c r="S90" s="14"/>
      <c r="T90" s="90"/>
      <c r="U90" s="14"/>
      <c r="V90" s="14"/>
      <c r="W90" s="14"/>
      <c r="X90" s="86"/>
      <c r="Y90" s="59">
        <f ca="1">Table29[[#This Row],[5/9/2025]]+2-TODAY()</f>
        <v>-94</v>
      </c>
      <c r="Z90" s="14">
        <f>IF(ISBLANK(Table29[[#This Row],[Roster Received By]]),1,0)</f>
        <v>1</v>
      </c>
      <c r="AA90" s="14">
        <f ca="1">IF(Table29[[#This Row],[5/5/2025]]&gt;TODAY(),1,)</f>
        <v>0</v>
      </c>
    </row>
    <row r="91" spans="1:27" s="93" customFormat="1" x14ac:dyDescent="0.25">
      <c r="A91" s="52" t="s">
        <v>526</v>
      </c>
      <c r="B91" s="86" t="s">
        <v>31</v>
      </c>
      <c r="C91" s="87" t="s">
        <v>125</v>
      </c>
      <c r="D91" s="87" t="s">
        <v>126</v>
      </c>
      <c r="E91" s="86" t="s">
        <v>86</v>
      </c>
      <c r="F91" s="161">
        <v>45733</v>
      </c>
      <c r="G91" s="161">
        <v>45733</v>
      </c>
      <c r="H91" s="88"/>
      <c r="I91" s="92">
        <v>0.45833333333333331</v>
      </c>
      <c r="J91" s="88">
        <v>0.33333333333333331</v>
      </c>
      <c r="K91" s="89"/>
      <c r="L91" s="89"/>
      <c r="M91" s="89"/>
      <c r="N91" s="89"/>
      <c r="O91" s="86" t="s">
        <v>241</v>
      </c>
      <c r="P91" s="86"/>
      <c r="Q91" s="90">
        <v>30</v>
      </c>
      <c r="R91" s="91">
        <v>1</v>
      </c>
      <c r="S91" s="90"/>
      <c r="T91" s="90"/>
      <c r="U91" s="14"/>
      <c r="V91" s="14"/>
      <c r="W91" s="14"/>
      <c r="X91" s="86"/>
      <c r="Y91" s="59">
        <f ca="1">Table29[[#This Row],[5/9/2025]]+2-TODAY()</f>
        <v>-83</v>
      </c>
      <c r="Z91" s="14">
        <f>IF(ISBLANK(Table29[[#This Row],[Roster Received By]]),1,0)</f>
        <v>1</v>
      </c>
      <c r="AA91" s="14">
        <f ca="1">IF(Table29[[#This Row],[5/5/2025]]&gt;TODAY(),1,)</f>
        <v>0</v>
      </c>
    </row>
    <row r="92" spans="1:27" s="93" customFormat="1" x14ac:dyDescent="0.25">
      <c r="A92" s="52"/>
      <c r="B92" s="86" t="s">
        <v>31</v>
      </c>
      <c r="C92" s="87" t="s">
        <v>125</v>
      </c>
      <c r="D92" s="87" t="s">
        <v>126</v>
      </c>
      <c r="E92" s="86" t="s">
        <v>291</v>
      </c>
      <c r="F92" s="89">
        <v>45743</v>
      </c>
      <c r="G92" s="89">
        <v>45743</v>
      </c>
      <c r="H92" s="88">
        <v>0.33333333333333331</v>
      </c>
      <c r="I92" s="92"/>
      <c r="J92" s="89"/>
      <c r="K92" s="89"/>
      <c r="L92" s="89"/>
      <c r="M92" s="89"/>
      <c r="N92" s="89"/>
      <c r="O92" s="86" t="s">
        <v>241</v>
      </c>
      <c r="P92" s="86"/>
      <c r="Q92" s="14">
        <v>30</v>
      </c>
      <c r="R92" s="14">
        <v>1</v>
      </c>
      <c r="S92" s="14"/>
      <c r="T92" s="90"/>
      <c r="U92" s="14"/>
      <c r="V92" s="14"/>
      <c r="W92" s="14"/>
      <c r="X92" s="86"/>
      <c r="Y92" s="59">
        <f ca="1">Table29[[#This Row],[5/9/2025]]+2-TODAY()</f>
        <v>-73</v>
      </c>
      <c r="Z92" s="14">
        <f>IF(ISBLANK(Table29[[#This Row],[Roster Received By]]),1,0)</f>
        <v>1</v>
      </c>
      <c r="AA92" s="14">
        <f ca="1">IF(Table29[[#This Row],[5/5/2025]]&gt;TODAY(),1,)</f>
        <v>0</v>
      </c>
    </row>
    <row r="93" spans="1:27" s="93" customFormat="1" x14ac:dyDescent="0.25">
      <c r="A93" s="52" t="s">
        <v>524</v>
      </c>
      <c r="B93" s="86" t="s">
        <v>31</v>
      </c>
      <c r="C93" s="87" t="s">
        <v>125</v>
      </c>
      <c r="D93" s="87" t="s">
        <v>126</v>
      </c>
      <c r="E93" s="86" t="s">
        <v>86</v>
      </c>
      <c r="F93" s="89">
        <v>45754</v>
      </c>
      <c r="G93" s="89">
        <v>45754</v>
      </c>
      <c r="H93" s="88"/>
      <c r="I93" s="88">
        <v>0.33333333333333331</v>
      </c>
      <c r="J93" s="88"/>
      <c r="K93" s="88"/>
      <c r="L93" s="88"/>
      <c r="M93" s="88"/>
      <c r="N93" s="88"/>
      <c r="O93" s="86" t="s">
        <v>241</v>
      </c>
      <c r="P93" s="86"/>
      <c r="Q93" s="14">
        <v>30</v>
      </c>
      <c r="R93" s="14">
        <v>1</v>
      </c>
      <c r="S93" s="14"/>
      <c r="T93" s="90"/>
      <c r="U93" s="14"/>
      <c r="V93" s="14"/>
      <c r="W93" s="14"/>
      <c r="X93" s="86"/>
      <c r="Y93" s="59">
        <f ca="1">Table29[[#This Row],[5/9/2025]]+2-TODAY()</f>
        <v>-62</v>
      </c>
      <c r="Z93" s="14">
        <f>IF(ISBLANK(Table29[[#This Row],[Roster Received By]]),1,0)</f>
        <v>1</v>
      </c>
      <c r="AA93" s="14">
        <f ca="1">IF(Table29[[#This Row],[5/5/2025]]&gt;TODAY(),1,)</f>
        <v>0</v>
      </c>
    </row>
    <row r="94" spans="1:27" s="93" customFormat="1" x14ac:dyDescent="0.25">
      <c r="A94" s="52"/>
      <c r="B94" s="86" t="s">
        <v>31</v>
      </c>
      <c r="C94" s="87" t="s">
        <v>125</v>
      </c>
      <c r="D94" s="87" t="s">
        <v>126</v>
      </c>
      <c r="E94" s="86" t="s">
        <v>172</v>
      </c>
      <c r="F94" s="89">
        <v>45757</v>
      </c>
      <c r="G94" s="89">
        <v>45757</v>
      </c>
      <c r="H94" s="88">
        <v>0.33333333333333331</v>
      </c>
      <c r="I94" s="95"/>
      <c r="J94" s="89"/>
      <c r="K94" s="89"/>
      <c r="L94" s="89"/>
      <c r="M94" s="89"/>
      <c r="N94" s="89"/>
      <c r="O94" s="86" t="s">
        <v>241</v>
      </c>
      <c r="P94" s="86"/>
      <c r="Q94" s="14">
        <v>30</v>
      </c>
      <c r="R94" s="14">
        <v>1</v>
      </c>
      <c r="S94" s="14"/>
      <c r="T94" s="90"/>
      <c r="U94" s="14"/>
      <c r="V94" s="14"/>
      <c r="W94" s="14"/>
      <c r="X94" s="86"/>
      <c r="Y94" s="59">
        <f ca="1">Table29[[#This Row],[5/9/2025]]+2-TODAY()</f>
        <v>-59</v>
      </c>
      <c r="Z94" s="14">
        <f>IF(ISBLANK(Table29[[#This Row],[Roster Received By]]),1,0)</f>
        <v>1</v>
      </c>
      <c r="AA94" s="14">
        <f ca="1">IF(Table29[[#This Row],[5/5/2025]]&gt;TODAY(),1,)</f>
        <v>0</v>
      </c>
    </row>
    <row r="95" spans="1:27" s="93" customFormat="1" x14ac:dyDescent="0.25">
      <c r="A95" s="52"/>
      <c r="B95" s="86" t="s">
        <v>31</v>
      </c>
      <c r="C95" s="87" t="s">
        <v>125</v>
      </c>
      <c r="D95" s="87" t="s">
        <v>126</v>
      </c>
      <c r="E95" s="86" t="s">
        <v>161</v>
      </c>
      <c r="F95" s="89">
        <v>45785</v>
      </c>
      <c r="G95" s="89">
        <v>45785</v>
      </c>
      <c r="H95" s="88">
        <v>0.33333333333333331</v>
      </c>
      <c r="I95" s="88"/>
      <c r="J95" s="88"/>
      <c r="K95" s="88"/>
      <c r="L95" s="88"/>
      <c r="M95" s="88"/>
      <c r="N95" s="88"/>
      <c r="O95" s="86" t="s">
        <v>241</v>
      </c>
      <c r="P95" s="86"/>
      <c r="Q95" s="14">
        <v>30</v>
      </c>
      <c r="R95" s="14">
        <v>1</v>
      </c>
      <c r="S95" s="14"/>
      <c r="T95" s="90"/>
      <c r="U95" s="14"/>
      <c r="V95" s="14"/>
      <c r="W95" s="14"/>
      <c r="X95" s="86"/>
      <c r="Y95" s="59">
        <f ca="1">Table29[[#This Row],[5/9/2025]]+2-TODAY()</f>
        <v>-31</v>
      </c>
      <c r="Z95" s="14">
        <f>IF(ISBLANK(Table29[[#This Row],[Roster Received By]]),1,0)</f>
        <v>1</v>
      </c>
      <c r="AA95" s="14">
        <f ca="1">IF(Table29[[#This Row],[5/5/2025]]&gt;TODAY(),1,)</f>
        <v>0</v>
      </c>
    </row>
    <row r="96" spans="1:27" s="93" customFormat="1" x14ac:dyDescent="0.25">
      <c r="A96" s="86"/>
      <c r="B96" s="86" t="s">
        <v>31</v>
      </c>
      <c r="C96" s="87" t="s">
        <v>125</v>
      </c>
      <c r="D96" s="87" t="s">
        <v>126</v>
      </c>
      <c r="E96" s="86" t="s">
        <v>169</v>
      </c>
      <c r="F96" s="89">
        <v>45792</v>
      </c>
      <c r="G96" s="89">
        <v>45792</v>
      </c>
      <c r="H96" s="88">
        <v>0.33333333333333331</v>
      </c>
      <c r="I96" s="88"/>
      <c r="J96" s="89"/>
      <c r="K96" s="89"/>
      <c r="L96" s="89"/>
      <c r="M96" s="89"/>
      <c r="N96" s="89"/>
      <c r="O96" s="86" t="s">
        <v>241</v>
      </c>
      <c r="P96" s="86"/>
      <c r="Q96" s="14">
        <v>30</v>
      </c>
      <c r="R96" s="14">
        <v>1</v>
      </c>
      <c r="S96" s="14"/>
      <c r="T96" s="90"/>
      <c r="U96" s="14"/>
      <c r="V96" s="14"/>
      <c r="W96" s="14"/>
      <c r="X96" s="86"/>
      <c r="Y96" s="59">
        <f ca="1">Table29[[#This Row],[5/9/2025]]+2-TODAY()</f>
        <v>-24</v>
      </c>
      <c r="Z96" s="14">
        <f>IF(ISBLANK(Table29[[#This Row],[Roster Received By]]),1,0)</f>
        <v>1</v>
      </c>
      <c r="AA96" s="14">
        <f ca="1">IF(Table29[[#This Row],[5/5/2025]]&gt;TODAY(),1,)</f>
        <v>0</v>
      </c>
    </row>
    <row r="97" spans="1:27" s="93" customFormat="1" x14ac:dyDescent="0.25">
      <c r="A97" s="52" t="s">
        <v>527</v>
      </c>
      <c r="B97" s="86" t="s">
        <v>31</v>
      </c>
      <c r="C97" s="87" t="s">
        <v>125</v>
      </c>
      <c r="D97" s="87" t="s">
        <v>126</v>
      </c>
      <c r="E97" s="86" t="s">
        <v>86</v>
      </c>
      <c r="F97" s="89">
        <v>45818</v>
      </c>
      <c r="G97" s="89">
        <v>45818</v>
      </c>
      <c r="H97" s="88"/>
      <c r="I97" s="164">
        <v>0.79166666666666663</v>
      </c>
      <c r="J97" s="92"/>
      <c r="K97" s="92"/>
      <c r="L97" s="92"/>
      <c r="M97" s="126"/>
      <c r="N97" s="88">
        <v>0.33333333333333331</v>
      </c>
      <c r="O97" s="86" t="s">
        <v>241</v>
      </c>
      <c r="P97" s="86"/>
      <c r="Q97" s="14">
        <v>30</v>
      </c>
      <c r="R97" s="14">
        <v>1</v>
      </c>
      <c r="S97" s="14"/>
      <c r="T97" s="90"/>
      <c r="U97" s="14"/>
      <c r="V97" s="14"/>
      <c r="W97" s="14"/>
      <c r="X97" s="86"/>
      <c r="Y97" s="59">
        <f ca="1">Table29[[#This Row],[5/9/2025]]+2-TODAY()</f>
        <v>2</v>
      </c>
      <c r="Z97" s="14">
        <f>IF(ISBLANK(Table29[[#This Row],[Roster Received By]]),1,0)</f>
        <v>1</v>
      </c>
      <c r="AA97" s="14">
        <f ca="1">IF(Table29[[#This Row],[5/5/2025]]&gt;TODAY(),1,)</f>
        <v>0</v>
      </c>
    </row>
    <row r="98" spans="1:27" s="93" customFormat="1" x14ac:dyDescent="0.25">
      <c r="A98" s="52"/>
      <c r="B98" s="86" t="s">
        <v>31</v>
      </c>
      <c r="C98" s="87" t="s">
        <v>125</v>
      </c>
      <c r="D98" s="87" t="s">
        <v>126</v>
      </c>
      <c r="E98" s="86" t="s">
        <v>416</v>
      </c>
      <c r="F98" s="89">
        <v>45820</v>
      </c>
      <c r="G98" s="89">
        <v>45820</v>
      </c>
      <c r="H98" s="88">
        <v>0.33333333333333331</v>
      </c>
      <c r="I98" s="88"/>
      <c r="J98" s="88"/>
      <c r="K98" s="88"/>
      <c r="L98" s="88"/>
      <c r="M98" s="88"/>
      <c r="N98" s="88"/>
      <c r="O98" s="86" t="s">
        <v>241</v>
      </c>
      <c r="P98" s="86"/>
      <c r="Q98" s="14">
        <v>30</v>
      </c>
      <c r="R98" s="14">
        <v>1</v>
      </c>
      <c r="S98" s="14"/>
      <c r="T98" s="90"/>
      <c r="U98" s="14"/>
      <c r="V98" s="14"/>
      <c r="W98" s="14"/>
      <c r="X98" s="86"/>
      <c r="Y98" s="59">
        <f ca="1">Table29[[#This Row],[5/9/2025]]+2-TODAY()</f>
        <v>4</v>
      </c>
      <c r="Z98" s="14">
        <f>IF(ISBLANK(Table29[[#This Row],[Roster Received By]]),1,0)</f>
        <v>1</v>
      </c>
      <c r="AA98" s="14">
        <f ca="1">IF(Table29[[#This Row],[5/5/2025]]&gt;TODAY(),1,)</f>
        <v>1</v>
      </c>
    </row>
    <row r="99" spans="1:27" s="93" customFormat="1" x14ac:dyDescent="0.25">
      <c r="A99" s="52"/>
      <c r="B99" s="86" t="s">
        <v>31</v>
      </c>
      <c r="C99" s="87" t="s">
        <v>125</v>
      </c>
      <c r="D99" s="87" t="s">
        <v>126</v>
      </c>
      <c r="E99" s="86" t="s">
        <v>174</v>
      </c>
      <c r="F99" s="89">
        <v>45855</v>
      </c>
      <c r="G99" s="89">
        <v>45855</v>
      </c>
      <c r="H99" s="88">
        <v>0.33333333333333331</v>
      </c>
      <c r="I99" s="88"/>
      <c r="J99" s="89"/>
      <c r="K99" s="89"/>
      <c r="L99" s="89"/>
      <c r="M99" s="89"/>
      <c r="N99" s="89"/>
      <c r="O99" s="86" t="s">
        <v>241</v>
      </c>
      <c r="P99" s="86"/>
      <c r="Q99" s="14">
        <v>30</v>
      </c>
      <c r="R99" s="14">
        <v>1</v>
      </c>
      <c r="S99" s="90"/>
      <c r="T99" s="90"/>
      <c r="U99" s="14"/>
      <c r="V99" s="14"/>
      <c r="W99" s="14"/>
      <c r="X99" s="86"/>
      <c r="Y99" s="59">
        <f ca="1">Table29[[#This Row],[5/9/2025]]+2-TODAY()</f>
        <v>39</v>
      </c>
      <c r="Z99" s="14">
        <f>IF(ISBLANK(Table29[[#This Row],[Roster Received By]]),1,0)</f>
        <v>1</v>
      </c>
      <c r="AA99" s="14">
        <f ca="1">IF(Table29[[#This Row],[5/5/2025]]&gt;TODAY(),1,)</f>
        <v>1</v>
      </c>
    </row>
    <row r="100" spans="1:27" s="93" customFormat="1" x14ac:dyDescent="0.25">
      <c r="A100" s="52"/>
      <c r="B100" s="86" t="s">
        <v>31</v>
      </c>
      <c r="C100" s="87" t="s">
        <v>125</v>
      </c>
      <c r="D100" s="87" t="s">
        <v>126</v>
      </c>
      <c r="E100" s="54" t="s">
        <v>250</v>
      </c>
      <c r="F100" s="89">
        <v>45862</v>
      </c>
      <c r="G100" s="89">
        <v>45862</v>
      </c>
      <c r="H100" s="88">
        <v>0.33333333333333331</v>
      </c>
      <c r="I100" s="92"/>
      <c r="J100" s="88"/>
      <c r="K100" s="92"/>
      <c r="L100" s="92"/>
      <c r="M100" s="92"/>
      <c r="N100" s="92"/>
      <c r="O100" s="86" t="s">
        <v>241</v>
      </c>
      <c r="P100" s="86"/>
      <c r="Q100" s="14">
        <v>30</v>
      </c>
      <c r="R100" s="14">
        <v>1</v>
      </c>
      <c r="S100" s="14"/>
      <c r="T100" s="90"/>
      <c r="U100" s="14"/>
      <c r="V100" s="14"/>
      <c r="W100" s="14"/>
      <c r="X100" s="86"/>
      <c r="Y100" s="59">
        <f ca="1">Table29[[#This Row],[5/9/2025]]+2-TODAY()</f>
        <v>46</v>
      </c>
      <c r="Z100" s="14">
        <f>IF(ISBLANK(Table29[[#This Row],[Roster Received By]]),1,0)</f>
        <v>1</v>
      </c>
      <c r="AA100" s="14">
        <f ca="1">IF(Table29[[#This Row],[5/5/2025]]&gt;TODAY(),1,)</f>
        <v>1</v>
      </c>
    </row>
    <row r="101" spans="1:27" s="93" customFormat="1" x14ac:dyDescent="0.25">
      <c r="A101" s="86" t="s">
        <v>526</v>
      </c>
      <c r="B101" s="86" t="s">
        <v>31</v>
      </c>
      <c r="C101" s="87" t="s">
        <v>125</v>
      </c>
      <c r="D101" s="87" t="s">
        <v>126</v>
      </c>
      <c r="E101" s="86" t="s">
        <v>86</v>
      </c>
      <c r="F101" s="89">
        <v>45873</v>
      </c>
      <c r="G101" s="89">
        <v>45873</v>
      </c>
      <c r="H101" s="88"/>
      <c r="I101" s="95">
        <v>0.45833333333333331</v>
      </c>
      <c r="J101" s="88">
        <v>0.33333333333333331</v>
      </c>
      <c r="K101" s="89"/>
      <c r="L101" s="89"/>
      <c r="M101" s="89"/>
      <c r="N101" s="89"/>
      <c r="O101" s="86" t="s">
        <v>241</v>
      </c>
      <c r="P101" s="86"/>
      <c r="Q101" s="14">
        <v>30</v>
      </c>
      <c r="R101" s="14">
        <v>1</v>
      </c>
      <c r="S101" s="14"/>
      <c r="T101" s="90"/>
      <c r="U101" s="14"/>
      <c r="V101" s="14"/>
      <c r="W101" s="14"/>
      <c r="X101" s="86"/>
      <c r="Y101" s="59">
        <f ca="1">Table29[[#This Row],[5/9/2025]]+2-TODAY()</f>
        <v>57</v>
      </c>
      <c r="Z101" s="14">
        <f>IF(ISBLANK(Table29[[#This Row],[Roster Received By]]),1,0)</f>
        <v>1</v>
      </c>
      <c r="AA101" s="14">
        <f ca="1">IF(Table29[[#This Row],[5/5/2025]]&gt;TODAY(),1,)</f>
        <v>1</v>
      </c>
    </row>
    <row r="102" spans="1:27" s="93" customFormat="1" x14ac:dyDescent="0.25">
      <c r="A102" s="87"/>
      <c r="B102" s="86" t="s">
        <v>31</v>
      </c>
      <c r="C102" s="87" t="s">
        <v>125</v>
      </c>
      <c r="D102" s="87" t="s">
        <v>126</v>
      </c>
      <c r="E102" s="86" t="s">
        <v>169</v>
      </c>
      <c r="F102" s="56">
        <v>45876</v>
      </c>
      <c r="G102" s="56">
        <v>45876</v>
      </c>
      <c r="H102" s="88">
        <v>0.33333333333333331</v>
      </c>
      <c r="I102" s="92"/>
      <c r="J102" s="92"/>
      <c r="K102" s="92"/>
      <c r="L102" s="92"/>
      <c r="M102" s="88"/>
      <c r="N102" s="92"/>
      <c r="O102" s="86" t="s">
        <v>241</v>
      </c>
      <c r="P102" s="86"/>
      <c r="Q102" s="14">
        <v>30</v>
      </c>
      <c r="R102" s="14">
        <v>1</v>
      </c>
      <c r="S102" s="14"/>
      <c r="T102" s="90"/>
      <c r="U102" s="14"/>
      <c r="V102" s="14"/>
      <c r="W102" s="90"/>
      <c r="X102" s="86"/>
      <c r="Y102" s="59">
        <f ca="1">Table29[[#This Row],[5/9/2025]]+2-TODAY()</f>
        <v>60</v>
      </c>
      <c r="Z102" s="14">
        <f>IF(ISBLANK(Table29[[#This Row],[Roster Received By]]),1,0)</f>
        <v>1</v>
      </c>
      <c r="AA102" s="14">
        <f ca="1">IF(Table29[[#This Row],[5/5/2025]]&gt;TODAY(),1,)</f>
        <v>1</v>
      </c>
    </row>
    <row r="103" spans="1:27" s="93" customFormat="1" x14ac:dyDescent="0.25">
      <c r="A103" s="52"/>
      <c r="B103" s="86" t="s">
        <v>31</v>
      </c>
      <c r="C103" s="87" t="s">
        <v>125</v>
      </c>
      <c r="D103" s="87" t="s">
        <v>126</v>
      </c>
      <c r="E103" s="86" t="s">
        <v>179</v>
      </c>
      <c r="F103" s="56">
        <v>45890</v>
      </c>
      <c r="G103" s="56">
        <v>45890</v>
      </c>
      <c r="H103" s="88">
        <v>0.33333333333333331</v>
      </c>
      <c r="I103" s="92"/>
      <c r="J103" s="88"/>
      <c r="K103" s="92"/>
      <c r="L103" s="92"/>
      <c r="M103" s="92"/>
      <c r="N103" s="92"/>
      <c r="O103" s="86" t="s">
        <v>241</v>
      </c>
      <c r="P103" s="86"/>
      <c r="Q103" s="14">
        <v>30</v>
      </c>
      <c r="R103" s="14">
        <v>1</v>
      </c>
      <c r="S103" s="14"/>
      <c r="T103" s="90"/>
      <c r="U103" s="14"/>
      <c r="V103" s="14"/>
      <c r="W103" s="14"/>
      <c r="X103" s="86"/>
      <c r="Y103" s="59">
        <f ca="1">Table29[[#This Row],[5/9/2025]]+2-TODAY()</f>
        <v>74</v>
      </c>
      <c r="Z103" s="14">
        <f>IF(ISBLANK(Table29[[#This Row],[Roster Received By]]),1,0)</f>
        <v>1</v>
      </c>
      <c r="AA103" s="14">
        <f ca="1">IF(Table29[[#This Row],[5/5/2025]]&gt;TODAY(),1,)</f>
        <v>1</v>
      </c>
    </row>
    <row r="104" spans="1:27" s="122" customFormat="1" x14ac:dyDescent="0.25">
      <c r="A104" s="52"/>
      <c r="B104" s="86" t="s">
        <v>31</v>
      </c>
      <c r="C104" s="87" t="s">
        <v>125</v>
      </c>
      <c r="D104" s="87" t="s">
        <v>126</v>
      </c>
      <c r="E104" s="86" t="s">
        <v>290</v>
      </c>
      <c r="F104" s="89">
        <v>45905</v>
      </c>
      <c r="G104" s="89">
        <v>45905</v>
      </c>
      <c r="H104" s="88">
        <v>0.33333333333333331</v>
      </c>
      <c r="I104" s="92"/>
      <c r="J104" s="89"/>
      <c r="K104" s="89"/>
      <c r="L104" s="89"/>
      <c r="M104" s="89"/>
      <c r="N104" s="89"/>
      <c r="O104" s="86" t="s">
        <v>241</v>
      </c>
      <c r="P104" s="86"/>
      <c r="Q104" s="90">
        <v>30</v>
      </c>
      <c r="R104" s="91">
        <v>1</v>
      </c>
      <c r="S104" s="90"/>
      <c r="T104" s="90"/>
      <c r="U104" s="14"/>
      <c r="V104" s="14"/>
      <c r="W104" s="14"/>
      <c r="X104" s="86"/>
      <c r="Y104" s="59">
        <f ca="1">Table29[[#This Row],[5/9/2025]]+2-TODAY()</f>
        <v>89</v>
      </c>
      <c r="Z104" s="14">
        <f>IF(ISBLANK(Table29[[#This Row],[Roster Received By]]),1,0)</f>
        <v>1</v>
      </c>
      <c r="AA104" s="14">
        <f ca="1">IF(Table29[[#This Row],[5/5/2025]]&gt;TODAY(),1,)</f>
        <v>1</v>
      </c>
    </row>
    <row r="105" spans="1:27" s="93" customFormat="1" x14ac:dyDescent="0.25">
      <c r="A105" s="52"/>
      <c r="B105" s="86" t="s">
        <v>31</v>
      </c>
      <c r="C105" s="87" t="s">
        <v>125</v>
      </c>
      <c r="D105" s="87" t="s">
        <v>126</v>
      </c>
      <c r="E105" s="86" t="s">
        <v>173</v>
      </c>
      <c r="F105" s="89">
        <v>45911</v>
      </c>
      <c r="G105" s="89">
        <v>45911</v>
      </c>
      <c r="H105" s="88">
        <v>0.33333333333333331</v>
      </c>
      <c r="I105" s="92"/>
      <c r="J105" s="92"/>
      <c r="K105" s="92"/>
      <c r="L105" s="92"/>
      <c r="M105" s="92"/>
      <c r="N105" s="92"/>
      <c r="O105" s="86" t="s">
        <v>241</v>
      </c>
      <c r="P105" s="86"/>
      <c r="Q105" s="14">
        <v>30</v>
      </c>
      <c r="R105" s="14">
        <v>1</v>
      </c>
      <c r="S105" s="14"/>
      <c r="T105" s="90"/>
      <c r="U105" s="14"/>
      <c r="V105" s="14"/>
      <c r="W105" s="14"/>
      <c r="X105" s="86"/>
      <c r="Y105" s="59">
        <f ca="1">Table29[[#This Row],[5/9/2025]]+2-TODAY()</f>
        <v>95</v>
      </c>
      <c r="Z105" s="14">
        <f>IF(ISBLANK(Table29[[#This Row],[Roster Received By]]),1,0)</f>
        <v>1</v>
      </c>
      <c r="AA105" s="14">
        <f ca="1">IF(Table29[[#This Row],[5/5/2025]]&gt;TODAY(),1,)</f>
        <v>1</v>
      </c>
    </row>
    <row r="106" spans="1:27" s="52" customFormat="1" x14ac:dyDescent="0.25">
      <c r="A106" s="86" t="s">
        <v>525</v>
      </c>
      <c r="B106" s="86" t="s">
        <v>31</v>
      </c>
      <c r="C106" s="87" t="s">
        <v>125</v>
      </c>
      <c r="D106" s="87" t="s">
        <v>126</v>
      </c>
      <c r="E106" s="86" t="s">
        <v>86</v>
      </c>
      <c r="F106" s="89">
        <v>45923</v>
      </c>
      <c r="G106" s="89">
        <v>45923</v>
      </c>
      <c r="H106" s="88"/>
      <c r="I106" s="92">
        <v>8.3333333333333329E-2</v>
      </c>
      <c r="J106" s="88"/>
      <c r="K106" s="88"/>
      <c r="L106" s="88">
        <v>0.33333333333333331</v>
      </c>
      <c r="M106" s="88"/>
      <c r="N106" s="88"/>
      <c r="O106" s="86" t="s">
        <v>241</v>
      </c>
      <c r="P106" s="86"/>
      <c r="Q106" s="14">
        <v>30</v>
      </c>
      <c r="R106" s="14">
        <v>1</v>
      </c>
      <c r="S106" s="14"/>
      <c r="T106" s="90"/>
      <c r="U106" s="14"/>
      <c r="V106" s="14"/>
      <c r="W106" s="14"/>
      <c r="X106" s="86"/>
      <c r="Y106" s="59">
        <f ca="1">Table29[[#This Row],[5/9/2025]]+2-TODAY()</f>
        <v>107</v>
      </c>
      <c r="Z106" s="14">
        <f>IF(ISBLANK(Table29[[#This Row],[Roster Received By]]),1,0)</f>
        <v>1</v>
      </c>
      <c r="AA106" s="14">
        <f ca="1">IF(Table29[[#This Row],[5/5/2025]]&gt;TODAY(),1,)</f>
        <v>1</v>
      </c>
    </row>
    <row r="107" spans="1:27" s="52" customFormat="1" x14ac:dyDescent="0.25">
      <c r="B107" s="86" t="s">
        <v>32</v>
      </c>
      <c r="C107" s="87" t="s">
        <v>127</v>
      </c>
      <c r="D107" s="87" t="s">
        <v>128</v>
      </c>
      <c r="E107" s="86" t="s">
        <v>174</v>
      </c>
      <c r="F107" s="89">
        <v>45678</v>
      </c>
      <c r="G107" s="89">
        <v>45679</v>
      </c>
      <c r="H107" s="88">
        <v>0.33333333333333331</v>
      </c>
      <c r="I107" s="88"/>
      <c r="J107" s="88"/>
      <c r="K107" s="88"/>
      <c r="L107" s="88"/>
      <c r="M107" s="88"/>
      <c r="N107" s="88"/>
      <c r="O107" s="86" t="s">
        <v>241</v>
      </c>
      <c r="P107" s="86"/>
      <c r="Q107" s="14">
        <v>30</v>
      </c>
      <c r="R107" s="14">
        <v>2</v>
      </c>
      <c r="S107" s="14"/>
      <c r="T107" s="90"/>
      <c r="U107" s="14"/>
      <c r="V107" s="14"/>
      <c r="W107" s="14"/>
      <c r="X107" s="86"/>
      <c r="Y107" s="59">
        <f ca="1">Table29[[#This Row],[5/9/2025]]+2-TODAY()</f>
        <v>-137</v>
      </c>
      <c r="Z107" s="14">
        <f>IF(ISBLANK(Table29[[#This Row],[Roster Received By]]),1,0)</f>
        <v>1</v>
      </c>
      <c r="AA107" s="14">
        <f ca="1">IF(Table29[[#This Row],[5/5/2025]]&gt;TODAY(),1,)</f>
        <v>0</v>
      </c>
    </row>
    <row r="108" spans="1:27" s="52" customFormat="1" x14ac:dyDescent="0.25">
      <c r="A108" s="52" t="s">
        <v>523</v>
      </c>
      <c r="B108" s="86" t="s">
        <v>32</v>
      </c>
      <c r="C108" s="87" t="s">
        <v>127</v>
      </c>
      <c r="D108" s="87" t="s">
        <v>128</v>
      </c>
      <c r="E108" s="86" t="s">
        <v>284</v>
      </c>
      <c r="F108" s="89">
        <v>45691</v>
      </c>
      <c r="G108" s="89">
        <v>45692</v>
      </c>
      <c r="H108" s="88">
        <v>0.33333333333333331</v>
      </c>
      <c r="I108" s="88"/>
      <c r="J108" s="88"/>
      <c r="K108" s="88"/>
      <c r="L108" s="88"/>
      <c r="M108" s="88"/>
      <c r="N108" s="88"/>
      <c r="O108" s="86" t="s">
        <v>241</v>
      </c>
      <c r="P108" s="86"/>
      <c r="Q108" s="14">
        <v>30</v>
      </c>
      <c r="R108" s="14">
        <v>2</v>
      </c>
      <c r="S108" s="14"/>
      <c r="T108" s="90"/>
      <c r="U108" s="14"/>
      <c r="V108" s="14"/>
      <c r="W108" s="14"/>
      <c r="X108" s="86"/>
      <c r="Y108" s="59">
        <f ca="1">Table29[[#This Row],[5/9/2025]]+2-TODAY()</f>
        <v>-124</v>
      </c>
      <c r="Z108" s="14">
        <f>IF(ISBLANK(Table29[[#This Row],[Roster Received By]]),1,0)</f>
        <v>1</v>
      </c>
      <c r="AA108" s="14">
        <f ca="1">IF(Table29[[#This Row],[5/5/2025]]&gt;TODAY(),1,)</f>
        <v>0</v>
      </c>
    </row>
    <row r="109" spans="1:27" s="52" customFormat="1" x14ac:dyDescent="0.25">
      <c r="B109" s="86" t="s">
        <v>32</v>
      </c>
      <c r="C109" s="87" t="s">
        <v>127</v>
      </c>
      <c r="D109" s="87" t="s">
        <v>128</v>
      </c>
      <c r="E109" s="86" t="s">
        <v>239</v>
      </c>
      <c r="F109" s="89">
        <v>45726</v>
      </c>
      <c r="G109" s="89">
        <v>45727</v>
      </c>
      <c r="H109" s="88">
        <v>0.33333333333333331</v>
      </c>
      <c r="I109" s="88"/>
      <c r="J109" s="88"/>
      <c r="K109" s="88"/>
      <c r="L109" s="88"/>
      <c r="M109" s="88"/>
      <c r="N109" s="88"/>
      <c r="O109" s="86" t="s">
        <v>241</v>
      </c>
      <c r="P109" s="86"/>
      <c r="Q109" s="14">
        <v>30</v>
      </c>
      <c r="R109" s="14">
        <v>2</v>
      </c>
      <c r="S109" s="14"/>
      <c r="T109" s="90"/>
      <c r="U109" s="14"/>
      <c r="V109" s="14"/>
      <c r="W109" s="14"/>
      <c r="X109" s="86"/>
      <c r="Y109" s="59">
        <f ca="1">Table29[[#This Row],[5/9/2025]]+2-TODAY()</f>
        <v>-89</v>
      </c>
      <c r="Z109" s="14">
        <f>IF(ISBLANK(Table29[[#This Row],[Roster Received By]]),1,0)</f>
        <v>1</v>
      </c>
      <c r="AA109" s="14">
        <f ca="1">IF(Table29[[#This Row],[5/5/2025]]&gt;TODAY(),1,)</f>
        <v>0</v>
      </c>
    </row>
    <row r="110" spans="1:27" s="52" customFormat="1" x14ac:dyDescent="0.25">
      <c r="A110" s="86"/>
      <c r="B110" s="86" t="s">
        <v>32</v>
      </c>
      <c r="C110" s="87" t="s">
        <v>127</v>
      </c>
      <c r="D110" s="87" t="s">
        <v>128</v>
      </c>
      <c r="E110" s="86" t="s">
        <v>179</v>
      </c>
      <c r="F110" s="89">
        <v>45733</v>
      </c>
      <c r="G110" s="89">
        <v>45734</v>
      </c>
      <c r="H110" s="88">
        <v>0.33333333333333331</v>
      </c>
      <c r="I110" s="88"/>
      <c r="J110" s="88"/>
      <c r="K110" s="88"/>
      <c r="L110" s="88"/>
      <c r="M110" s="88"/>
      <c r="N110" s="88"/>
      <c r="O110" s="86" t="s">
        <v>241</v>
      </c>
      <c r="P110" s="86"/>
      <c r="Q110" s="14">
        <v>30</v>
      </c>
      <c r="R110" s="14">
        <v>2</v>
      </c>
      <c r="S110" s="14"/>
      <c r="T110" s="90"/>
      <c r="U110" s="14"/>
      <c r="V110" s="14"/>
      <c r="W110" s="14"/>
      <c r="X110" s="86"/>
      <c r="Y110" s="59">
        <f ca="1">Table29[[#This Row],[5/9/2025]]+2-TODAY()</f>
        <v>-82</v>
      </c>
      <c r="Z110" s="14">
        <f>IF(ISBLANK(Table29[[#This Row],[Roster Received By]]),1,0)</f>
        <v>1</v>
      </c>
      <c r="AA110" s="14">
        <f ca="1">IF(Table29[[#This Row],[5/5/2025]]&gt;TODAY(),1,)</f>
        <v>0</v>
      </c>
    </row>
    <row r="111" spans="1:27" s="52" customFormat="1" x14ac:dyDescent="0.25">
      <c r="B111" s="86" t="s">
        <v>32</v>
      </c>
      <c r="C111" s="87" t="s">
        <v>127</v>
      </c>
      <c r="D111" s="87" t="s">
        <v>128</v>
      </c>
      <c r="E111" s="86" t="s">
        <v>414</v>
      </c>
      <c r="F111" s="89">
        <v>45754</v>
      </c>
      <c r="G111" s="89">
        <v>45755</v>
      </c>
      <c r="H111" s="88">
        <v>0.33333333333333331</v>
      </c>
      <c r="I111" s="92"/>
      <c r="J111" s="89"/>
      <c r="K111" s="89"/>
      <c r="L111" s="89"/>
      <c r="M111" s="89"/>
      <c r="N111" s="89"/>
      <c r="O111" s="86" t="s">
        <v>241</v>
      </c>
      <c r="P111" s="86"/>
      <c r="Q111" s="14">
        <v>30</v>
      </c>
      <c r="R111" s="14">
        <v>2</v>
      </c>
      <c r="S111" s="14"/>
      <c r="T111" s="90"/>
      <c r="U111" s="14"/>
      <c r="V111" s="14"/>
      <c r="W111" s="14"/>
      <c r="X111" s="86"/>
      <c r="Y111" s="59">
        <f ca="1">Table29[[#This Row],[5/9/2025]]+2-TODAY()</f>
        <v>-61</v>
      </c>
      <c r="Z111" s="14">
        <f>IF(ISBLANK(Table29[[#This Row],[Roster Received By]]),1,0)</f>
        <v>1</v>
      </c>
      <c r="AA111" s="14">
        <f ca="1">IF(Table29[[#This Row],[5/5/2025]]&gt;TODAY(),1,)</f>
        <v>0</v>
      </c>
    </row>
    <row r="112" spans="1:27" s="52" customFormat="1" x14ac:dyDescent="0.25">
      <c r="B112" s="86" t="s">
        <v>32</v>
      </c>
      <c r="C112" s="87" t="s">
        <v>127</v>
      </c>
      <c r="D112" s="87" t="s">
        <v>128</v>
      </c>
      <c r="E112" s="54" t="s">
        <v>250</v>
      </c>
      <c r="F112" s="56">
        <v>45761</v>
      </c>
      <c r="G112" s="56">
        <v>45762</v>
      </c>
      <c r="H112" s="88">
        <v>0.33333333333333331</v>
      </c>
      <c r="I112" s="88"/>
      <c r="J112" s="89"/>
      <c r="K112" s="89"/>
      <c r="L112" s="89"/>
      <c r="M112" s="89"/>
      <c r="N112" s="89"/>
      <c r="O112" s="86" t="s">
        <v>241</v>
      </c>
      <c r="P112" s="86"/>
      <c r="Q112" s="14">
        <v>30</v>
      </c>
      <c r="R112" s="14">
        <v>2</v>
      </c>
      <c r="S112" s="14"/>
      <c r="T112" s="90"/>
      <c r="U112" s="14"/>
      <c r="V112" s="14"/>
      <c r="W112" s="14"/>
      <c r="X112" s="86"/>
      <c r="Y112" s="59">
        <f ca="1">Table29[[#This Row],[5/9/2025]]+2-TODAY()</f>
        <v>-54</v>
      </c>
      <c r="Z112" s="14">
        <f>IF(ISBLANK(Table29[[#This Row],[Roster Received By]]),1,0)</f>
        <v>1</v>
      </c>
      <c r="AA112" s="14">
        <f ca="1">IF(Table29[[#This Row],[5/5/2025]]&gt;TODAY(),1,)</f>
        <v>0</v>
      </c>
    </row>
    <row r="113" spans="1:27" s="52" customFormat="1" ht="15.75" thickBot="1" x14ac:dyDescent="0.3">
      <c r="A113" s="165"/>
      <c r="B113" s="130" t="s">
        <v>32</v>
      </c>
      <c r="C113" s="87" t="s">
        <v>127</v>
      </c>
      <c r="D113" s="87" t="s">
        <v>128</v>
      </c>
      <c r="E113" s="98" t="s">
        <v>172</v>
      </c>
      <c r="F113" s="56">
        <v>45782</v>
      </c>
      <c r="G113" s="56">
        <v>45783</v>
      </c>
      <c r="H113" s="88">
        <v>0.33333333333333331</v>
      </c>
      <c r="I113" s="95" t="s">
        <v>528</v>
      </c>
      <c r="J113" s="132"/>
      <c r="K113" s="132"/>
      <c r="L113" s="132"/>
      <c r="M113" s="132"/>
      <c r="N113" s="132"/>
      <c r="O113" s="86" t="s">
        <v>241</v>
      </c>
      <c r="P113" s="86"/>
      <c r="Q113" s="14">
        <v>30</v>
      </c>
      <c r="R113" s="14">
        <v>2</v>
      </c>
      <c r="S113" s="166"/>
      <c r="T113" s="90"/>
      <c r="U113" s="14"/>
      <c r="V113" s="14"/>
      <c r="W113" s="14"/>
      <c r="X113" s="86"/>
      <c r="Y113" s="59">
        <f ca="1">Table29[[#This Row],[5/9/2025]]+2-TODAY()</f>
        <v>-33</v>
      </c>
      <c r="Z113" s="14">
        <f>IF(ISBLANK(Table29[[#This Row],[Roster Received By]]),1,0)</f>
        <v>1</v>
      </c>
      <c r="AA113" s="14">
        <f ca="1">IF(Table29[[#This Row],[5/5/2025]]&gt;TODAY(),1,)</f>
        <v>0</v>
      </c>
    </row>
    <row r="114" spans="1:27" s="52" customFormat="1" ht="15.75" thickTop="1" x14ac:dyDescent="0.25">
      <c r="B114" s="86" t="s">
        <v>32</v>
      </c>
      <c r="C114" s="87" t="s">
        <v>127</v>
      </c>
      <c r="D114" s="87" t="s">
        <v>128</v>
      </c>
      <c r="E114" s="86" t="s">
        <v>276</v>
      </c>
      <c r="F114" s="161">
        <v>45845</v>
      </c>
      <c r="G114" s="161">
        <v>45846</v>
      </c>
      <c r="H114" s="88">
        <v>0.33333333333333331</v>
      </c>
      <c r="I114" s="88"/>
      <c r="J114" s="88"/>
      <c r="K114" s="88"/>
      <c r="L114" s="88"/>
      <c r="M114" s="88"/>
      <c r="N114" s="88"/>
      <c r="O114" s="86" t="s">
        <v>241</v>
      </c>
      <c r="P114" s="86"/>
      <c r="Q114" s="14">
        <v>30</v>
      </c>
      <c r="R114" s="14">
        <v>2</v>
      </c>
      <c r="S114" s="14"/>
      <c r="T114" s="90"/>
      <c r="U114" s="14"/>
      <c r="V114" s="14"/>
      <c r="W114" s="87"/>
      <c r="X114" s="86"/>
      <c r="Y114" s="59">
        <f ca="1">Table29[[#This Row],[5/9/2025]]+2-TODAY()</f>
        <v>30</v>
      </c>
      <c r="Z114" s="14">
        <f>IF(ISBLANK(Table29[[#This Row],[Roster Received By]]),1,0)</f>
        <v>1</v>
      </c>
      <c r="AA114" s="14">
        <f ca="1">IF(Table29[[#This Row],[5/5/2025]]&gt;TODAY(),1,)</f>
        <v>1</v>
      </c>
    </row>
    <row r="115" spans="1:27" x14ac:dyDescent="0.25">
      <c r="A115" s="52"/>
      <c r="B115" s="86" t="s">
        <v>32</v>
      </c>
      <c r="C115" s="87" t="s">
        <v>127</v>
      </c>
      <c r="D115" s="87" t="s">
        <v>128</v>
      </c>
      <c r="E115" s="86" t="s">
        <v>291</v>
      </c>
      <c r="F115" s="89">
        <v>45880</v>
      </c>
      <c r="G115" s="89">
        <v>45881</v>
      </c>
      <c r="H115" s="88">
        <v>0.33333333333333331</v>
      </c>
      <c r="I115" s="88"/>
      <c r="J115" s="88"/>
      <c r="K115" s="88"/>
      <c r="L115" s="88"/>
      <c r="M115" s="88"/>
      <c r="N115" s="88"/>
      <c r="O115" s="86" t="s">
        <v>241</v>
      </c>
      <c r="P115" s="86"/>
      <c r="Q115" s="14">
        <v>30</v>
      </c>
      <c r="R115" s="14">
        <v>2</v>
      </c>
      <c r="S115" s="14"/>
      <c r="T115" s="90"/>
      <c r="U115" s="14"/>
      <c r="V115" s="14"/>
      <c r="W115" s="91"/>
      <c r="X115" s="86"/>
      <c r="Y115" s="59">
        <f ca="1">Table29[[#This Row],[5/9/2025]]+2-TODAY()</f>
        <v>65</v>
      </c>
      <c r="Z115" s="14">
        <f>IF(ISBLANK(Table29[[#This Row],[Roster Received By]]),1,0)</f>
        <v>1</v>
      </c>
      <c r="AA115" s="14">
        <f ca="1">IF(Table29[[#This Row],[5/5/2025]]&gt;TODAY(),1,)</f>
        <v>1</v>
      </c>
    </row>
    <row r="116" spans="1:27" x14ac:dyDescent="0.25">
      <c r="A116" s="52" t="s">
        <v>523</v>
      </c>
      <c r="B116" s="86" t="s">
        <v>33</v>
      </c>
      <c r="C116" s="87" t="s">
        <v>129</v>
      </c>
      <c r="D116" s="87" t="s">
        <v>130</v>
      </c>
      <c r="E116" s="86" t="s">
        <v>284</v>
      </c>
      <c r="F116" s="89">
        <v>45693</v>
      </c>
      <c r="G116" s="89">
        <v>45693</v>
      </c>
      <c r="H116" s="88">
        <v>0.33333333333333331</v>
      </c>
      <c r="I116" s="92"/>
      <c r="J116" s="89"/>
      <c r="K116" s="89"/>
      <c r="L116" s="89"/>
      <c r="M116" s="89"/>
      <c r="N116" s="89"/>
      <c r="O116" s="86" t="s">
        <v>241</v>
      </c>
      <c r="P116" s="86"/>
      <c r="Q116" s="14">
        <v>30</v>
      </c>
      <c r="R116" s="14">
        <v>1</v>
      </c>
      <c r="S116" s="14"/>
      <c r="T116" s="90"/>
      <c r="U116" s="14"/>
      <c r="V116" s="14"/>
      <c r="W116" s="14"/>
      <c r="X116" s="86"/>
      <c r="Y116" s="59">
        <f ca="1">Table29[[#This Row],[5/9/2025]]+2-TODAY()</f>
        <v>-123</v>
      </c>
      <c r="Z116" s="14">
        <f>IF(ISBLANK(Table29[[#This Row],[Roster Received By]]),1,0)</f>
        <v>1</v>
      </c>
      <c r="AA116" s="14">
        <f ca="1">IF(Table29[[#This Row],[5/5/2025]]&gt;TODAY(),1,)</f>
        <v>0</v>
      </c>
    </row>
    <row r="117" spans="1:27" x14ac:dyDescent="0.25">
      <c r="A117" s="52"/>
      <c r="B117" s="86" t="s">
        <v>33</v>
      </c>
      <c r="C117" s="87" t="s">
        <v>129</v>
      </c>
      <c r="D117" s="87" t="s">
        <v>130</v>
      </c>
      <c r="E117" s="86" t="s">
        <v>239</v>
      </c>
      <c r="F117" s="89">
        <v>45728</v>
      </c>
      <c r="G117" s="89">
        <v>45728</v>
      </c>
      <c r="H117" s="88">
        <v>0.33333333333333331</v>
      </c>
      <c r="I117" s="88"/>
      <c r="J117" s="88"/>
      <c r="K117" s="88"/>
      <c r="L117" s="88"/>
      <c r="M117" s="88"/>
      <c r="N117" s="88"/>
      <c r="O117" s="86" t="s">
        <v>241</v>
      </c>
      <c r="P117" s="86"/>
      <c r="Q117" s="14">
        <v>30</v>
      </c>
      <c r="R117" s="14">
        <v>1</v>
      </c>
      <c r="S117" s="14"/>
      <c r="T117" s="90"/>
      <c r="U117" s="14"/>
      <c r="V117" s="14"/>
      <c r="W117" s="14"/>
      <c r="X117" s="86"/>
      <c r="Y117" s="59">
        <f ca="1">Table29[[#This Row],[5/9/2025]]+2-TODAY()</f>
        <v>-88</v>
      </c>
      <c r="Z117" s="14">
        <f>IF(ISBLANK(Table29[[#This Row],[Roster Received By]]),1,0)</f>
        <v>1</v>
      </c>
      <c r="AA117" s="14">
        <f ca="1">IF(Table29[[#This Row],[5/5/2025]]&gt;TODAY(),1,)</f>
        <v>0</v>
      </c>
    </row>
    <row r="118" spans="1:27" x14ac:dyDescent="0.25">
      <c r="A118" s="52"/>
      <c r="B118" s="86" t="s">
        <v>33</v>
      </c>
      <c r="C118" s="87" t="s">
        <v>129</v>
      </c>
      <c r="D118" s="87" t="s">
        <v>130</v>
      </c>
      <c r="E118" s="86" t="s">
        <v>414</v>
      </c>
      <c r="F118" s="89">
        <v>45756</v>
      </c>
      <c r="G118" s="89">
        <v>45756</v>
      </c>
      <c r="H118" s="88">
        <v>0.33333333333333331</v>
      </c>
      <c r="I118" s="88"/>
      <c r="J118" s="88"/>
      <c r="K118" s="88"/>
      <c r="L118" s="88"/>
      <c r="M118" s="88"/>
      <c r="N118" s="88"/>
      <c r="O118" s="86" t="s">
        <v>241</v>
      </c>
      <c r="P118" s="86"/>
      <c r="Q118" s="14">
        <v>30</v>
      </c>
      <c r="R118" s="14">
        <v>1</v>
      </c>
      <c r="S118" s="14"/>
      <c r="T118" s="90"/>
      <c r="U118" s="14"/>
      <c r="V118" s="14"/>
      <c r="W118" s="14"/>
      <c r="X118" s="86"/>
      <c r="Y118" s="59">
        <f ca="1">Table29[[#This Row],[5/9/2025]]+2-TODAY()</f>
        <v>-60</v>
      </c>
      <c r="Z118" s="14">
        <f>IF(ISBLANK(Table29[[#This Row],[Roster Received By]]),1,0)</f>
        <v>1</v>
      </c>
      <c r="AA118" s="14">
        <f ca="1">IF(Table29[[#This Row],[5/5/2025]]&gt;TODAY(),1,)</f>
        <v>0</v>
      </c>
    </row>
    <row r="119" spans="1:27" x14ac:dyDescent="0.25">
      <c r="A119" s="52"/>
      <c r="B119" s="86" t="s">
        <v>33</v>
      </c>
      <c r="C119" s="87" t="s">
        <v>129</v>
      </c>
      <c r="D119" s="87" t="s">
        <v>130</v>
      </c>
      <c r="E119" s="86" t="s">
        <v>250</v>
      </c>
      <c r="F119" s="89">
        <v>45763</v>
      </c>
      <c r="G119" s="89">
        <v>45763</v>
      </c>
      <c r="H119" s="88">
        <v>0.33333333333333331</v>
      </c>
      <c r="I119" s="92"/>
      <c r="J119" s="89"/>
      <c r="K119" s="89"/>
      <c r="L119" s="89"/>
      <c r="M119" s="89"/>
      <c r="N119" s="89"/>
      <c r="O119" s="86" t="s">
        <v>241</v>
      </c>
      <c r="P119" s="86"/>
      <c r="Q119" s="14">
        <v>30</v>
      </c>
      <c r="R119" s="14">
        <v>1</v>
      </c>
      <c r="S119" s="14"/>
      <c r="T119" s="90"/>
      <c r="U119" s="14"/>
      <c r="V119" s="14"/>
      <c r="W119" s="14"/>
      <c r="X119" s="86"/>
      <c r="Y119" s="59">
        <f ca="1">Table29[[#This Row],[5/9/2025]]+2-TODAY()</f>
        <v>-53</v>
      </c>
      <c r="Z119" s="14">
        <f>IF(ISBLANK(Table29[[#This Row],[Roster Received By]]),1,0)</f>
        <v>1</v>
      </c>
      <c r="AA119" s="14">
        <f ca="1">IF(Table29[[#This Row],[5/5/2025]]&gt;TODAY(),1,)</f>
        <v>0</v>
      </c>
    </row>
    <row r="120" spans="1:27" x14ac:dyDescent="0.25">
      <c r="A120" s="86"/>
      <c r="B120" s="86" t="s">
        <v>33</v>
      </c>
      <c r="C120" s="87" t="s">
        <v>129</v>
      </c>
      <c r="D120" s="87" t="s">
        <v>130</v>
      </c>
      <c r="E120" s="86" t="s">
        <v>172</v>
      </c>
      <c r="F120" s="89">
        <v>45784</v>
      </c>
      <c r="G120" s="89">
        <v>45784</v>
      </c>
      <c r="H120" s="88">
        <v>0.33333333333333331</v>
      </c>
      <c r="I120" s="88"/>
      <c r="J120" s="88"/>
      <c r="K120" s="88"/>
      <c r="L120" s="88"/>
      <c r="M120" s="88"/>
      <c r="N120" s="88"/>
      <c r="O120" s="86" t="s">
        <v>241</v>
      </c>
      <c r="P120" s="86"/>
      <c r="Q120" s="14">
        <v>30</v>
      </c>
      <c r="R120" s="14">
        <v>1</v>
      </c>
      <c r="S120" s="14"/>
      <c r="T120" s="90"/>
      <c r="U120" s="14"/>
      <c r="V120" s="14"/>
      <c r="W120" s="14"/>
      <c r="X120" s="86"/>
      <c r="Y120" s="59">
        <f ca="1">Table29[[#This Row],[5/9/2025]]+2-TODAY()</f>
        <v>-32</v>
      </c>
      <c r="Z120" s="14">
        <f>IF(ISBLANK(Table29[[#This Row],[Roster Received By]]),1,0)</f>
        <v>1</v>
      </c>
      <c r="AA120" s="14">
        <f ca="1">IF(Table29[[#This Row],[5/5/2025]]&gt;TODAY(),1,)</f>
        <v>0</v>
      </c>
    </row>
    <row r="121" spans="1:27" x14ac:dyDescent="0.25">
      <c r="A121" s="52"/>
      <c r="B121" s="86" t="s">
        <v>33</v>
      </c>
      <c r="C121" s="87" t="s">
        <v>129</v>
      </c>
      <c r="D121" s="87" t="s">
        <v>130</v>
      </c>
      <c r="E121" s="86" t="s">
        <v>300</v>
      </c>
      <c r="F121" s="161">
        <v>45811</v>
      </c>
      <c r="G121" s="161">
        <v>45811</v>
      </c>
      <c r="H121" s="88">
        <v>0.33333333333333331</v>
      </c>
      <c r="I121" s="92"/>
      <c r="J121" s="89"/>
      <c r="K121" s="89"/>
      <c r="L121" s="89"/>
      <c r="M121" s="89"/>
      <c r="N121" s="89"/>
      <c r="O121" s="86" t="s">
        <v>241</v>
      </c>
      <c r="P121" s="86"/>
      <c r="Q121" s="14">
        <v>30</v>
      </c>
      <c r="R121" s="14">
        <v>1</v>
      </c>
      <c r="S121" s="14"/>
      <c r="T121" s="90"/>
      <c r="U121" s="14"/>
      <c r="V121" s="14"/>
      <c r="W121" s="14"/>
      <c r="X121" s="86"/>
      <c r="Y121" s="59">
        <f ca="1">Table29[[#This Row],[5/9/2025]]+2-TODAY()</f>
        <v>-5</v>
      </c>
      <c r="Z121" s="14">
        <f>IF(ISBLANK(Table29[[#This Row],[Roster Received By]]),1,0)</f>
        <v>1</v>
      </c>
      <c r="AA121" s="14">
        <f ca="1">IF(Table29[[#This Row],[5/5/2025]]&gt;TODAY(),1,)</f>
        <v>0</v>
      </c>
    </row>
    <row r="122" spans="1:27" x14ac:dyDescent="0.25">
      <c r="A122" s="52"/>
      <c r="B122" s="86" t="s">
        <v>33</v>
      </c>
      <c r="C122" s="87" t="s">
        <v>129</v>
      </c>
      <c r="D122" s="87" t="s">
        <v>130</v>
      </c>
      <c r="E122" s="128" t="s">
        <v>173</v>
      </c>
      <c r="F122" s="167">
        <v>45813</v>
      </c>
      <c r="G122" s="167">
        <v>45813</v>
      </c>
      <c r="H122" s="88">
        <v>0.33333333333333331</v>
      </c>
      <c r="I122" s="92"/>
      <c r="J122" s="89"/>
      <c r="K122" s="89"/>
      <c r="L122" s="89"/>
      <c r="M122" s="89"/>
      <c r="N122" s="89"/>
      <c r="O122" s="86" t="s">
        <v>241</v>
      </c>
      <c r="P122" s="86"/>
      <c r="Q122" s="14">
        <v>30</v>
      </c>
      <c r="R122" s="14">
        <v>1</v>
      </c>
      <c r="S122" s="14"/>
      <c r="T122" s="90"/>
      <c r="U122" s="14"/>
      <c r="V122" s="14"/>
      <c r="W122" s="87"/>
      <c r="X122" s="86"/>
      <c r="Y122" s="59">
        <f ca="1">Table29[[#This Row],[5/9/2025]]+2-TODAY()</f>
        <v>-3</v>
      </c>
      <c r="Z122" s="14">
        <f>IF(ISBLANK(Table29[[#This Row],[Roster Received By]]),1,0)</f>
        <v>1</v>
      </c>
      <c r="AA122" s="14">
        <f ca="1">IF(Table29[[#This Row],[5/5/2025]]&gt;TODAY(),1,)</f>
        <v>0</v>
      </c>
    </row>
    <row r="123" spans="1:27" x14ac:dyDescent="0.25">
      <c r="A123" s="52"/>
      <c r="B123" s="86" t="s">
        <v>33</v>
      </c>
      <c r="C123" s="87" t="s">
        <v>129</v>
      </c>
      <c r="D123" s="87" t="s">
        <v>130</v>
      </c>
      <c r="E123" s="86" t="s">
        <v>169</v>
      </c>
      <c r="F123" s="161">
        <v>45817</v>
      </c>
      <c r="G123" s="161">
        <v>45817</v>
      </c>
      <c r="H123" s="88">
        <v>0.33333333333333331</v>
      </c>
      <c r="I123" s="88"/>
      <c r="J123" s="88"/>
      <c r="K123" s="88"/>
      <c r="L123" s="88"/>
      <c r="M123" s="88"/>
      <c r="N123" s="88"/>
      <c r="O123" s="86" t="s">
        <v>241</v>
      </c>
      <c r="P123" s="86"/>
      <c r="Q123" s="14">
        <v>30</v>
      </c>
      <c r="R123" s="14">
        <v>1</v>
      </c>
      <c r="S123" s="14"/>
      <c r="T123" s="90"/>
      <c r="U123" s="14"/>
      <c r="V123" s="14"/>
      <c r="W123" s="14"/>
      <c r="X123" s="86"/>
      <c r="Y123" s="59">
        <f ca="1">Table29[[#This Row],[5/9/2025]]+2-TODAY()</f>
        <v>1</v>
      </c>
      <c r="Z123" s="14">
        <f>IF(ISBLANK(Table29[[#This Row],[Roster Received By]]),1,0)</f>
        <v>1</v>
      </c>
      <c r="AA123" s="14">
        <f ca="1">IF(Table29[[#This Row],[5/5/2025]]&gt;TODAY(),1,)</f>
        <v>0</v>
      </c>
    </row>
    <row r="124" spans="1:27" x14ac:dyDescent="0.25">
      <c r="A124" s="52"/>
      <c r="B124" s="86" t="s">
        <v>33</v>
      </c>
      <c r="C124" s="87" t="s">
        <v>129</v>
      </c>
      <c r="D124" s="87" t="s">
        <v>130</v>
      </c>
      <c r="E124" s="86" t="s">
        <v>157</v>
      </c>
      <c r="F124" s="89">
        <v>45838</v>
      </c>
      <c r="G124" s="89">
        <v>45838</v>
      </c>
      <c r="H124" s="88">
        <v>0.33333333333333331</v>
      </c>
      <c r="I124" s="92"/>
      <c r="J124" s="89"/>
      <c r="K124" s="89"/>
      <c r="L124" s="89"/>
      <c r="M124" s="89"/>
      <c r="N124" s="89"/>
      <c r="O124" s="86" t="s">
        <v>241</v>
      </c>
      <c r="P124" s="86"/>
      <c r="Q124" s="14">
        <v>30</v>
      </c>
      <c r="R124" s="14">
        <v>1</v>
      </c>
      <c r="S124" s="14"/>
      <c r="T124" s="90"/>
      <c r="U124" s="14"/>
      <c r="V124" s="14"/>
      <c r="W124" s="14"/>
      <c r="X124" s="86"/>
      <c r="Y124" s="59">
        <f ca="1">Table29[[#This Row],[5/9/2025]]+2-TODAY()</f>
        <v>22</v>
      </c>
      <c r="Z124" s="14">
        <f>IF(ISBLANK(Table29[[#This Row],[Roster Received By]]),1,0)</f>
        <v>1</v>
      </c>
      <c r="AA124" s="14">
        <f ca="1">IF(Table29[[#This Row],[5/5/2025]]&gt;TODAY(),1,)</f>
        <v>1</v>
      </c>
    </row>
    <row r="125" spans="1:27" x14ac:dyDescent="0.25">
      <c r="A125" s="52"/>
      <c r="B125" s="86" t="s">
        <v>33</v>
      </c>
      <c r="C125" s="87" t="s">
        <v>129</v>
      </c>
      <c r="D125" s="87" t="s">
        <v>130</v>
      </c>
      <c r="E125" s="86" t="s">
        <v>234</v>
      </c>
      <c r="F125" s="161">
        <v>45845</v>
      </c>
      <c r="G125" s="161">
        <v>45845</v>
      </c>
      <c r="H125" s="88">
        <v>0.33333333333333331</v>
      </c>
      <c r="I125" s="92"/>
      <c r="J125" s="92"/>
      <c r="K125" s="92"/>
      <c r="L125" s="92"/>
      <c r="M125" s="92"/>
      <c r="N125" s="89"/>
      <c r="O125" s="86" t="s">
        <v>241</v>
      </c>
      <c r="P125" s="86"/>
      <c r="Q125" s="14">
        <v>30</v>
      </c>
      <c r="R125" s="14">
        <v>1</v>
      </c>
      <c r="S125" s="14"/>
      <c r="T125" s="90"/>
      <c r="U125" s="14"/>
      <c r="V125" s="14"/>
      <c r="W125" s="14"/>
      <c r="X125" s="86"/>
      <c r="Y125" s="59">
        <f ca="1">Table29[[#This Row],[5/9/2025]]+2-TODAY()</f>
        <v>29</v>
      </c>
      <c r="Z125" s="14">
        <f>IF(ISBLANK(Table29[[#This Row],[Roster Received By]]),1,0)</f>
        <v>1</v>
      </c>
      <c r="AA125" s="14">
        <f ca="1">IF(Table29[[#This Row],[5/5/2025]]&gt;TODAY(),1,)</f>
        <v>1</v>
      </c>
    </row>
    <row r="126" spans="1:27" x14ac:dyDescent="0.25">
      <c r="A126" s="52"/>
      <c r="B126" s="86" t="s">
        <v>33</v>
      </c>
      <c r="C126" s="87" t="s">
        <v>129</v>
      </c>
      <c r="D126" s="87" t="s">
        <v>130</v>
      </c>
      <c r="E126" s="54" t="s">
        <v>275</v>
      </c>
      <c r="F126" s="56">
        <v>45847</v>
      </c>
      <c r="G126" s="56">
        <v>45847</v>
      </c>
      <c r="H126" s="88">
        <v>0.33333333333333331</v>
      </c>
      <c r="I126" s="88"/>
      <c r="J126" s="89"/>
      <c r="K126" s="89"/>
      <c r="L126" s="89"/>
      <c r="M126" s="89"/>
      <c r="N126" s="89"/>
      <c r="O126" s="86" t="s">
        <v>241</v>
      </c>
      <c r="P126" s="86"/>
      <c r="Q126" s="14">
        <v>30</v>
      </c>
      <c r="R126" s="14">
        <v>1</v>
      </c>
      <c r="S126" s="14"/>
      <c r="T126" s="90"/>
      <c r="U126" s="14"/>
      <c r="V126" s="14"/>
      <c r="W126" s="14"/>
      <c r="X126" s="86"/>
      <c r="Y126" s="59">
        <f ca="1">Table29[[#This Row],[5/9/2025]]+2-TODAY()</f>
        <v>31</v>
      </c>
      <c r="Z126" s="14">
        <f>IF(ISBLANK(Table29[[#This Row],[Roster Received By]]),1,0)</f>
        <v>1</v>
      </c>
      <c r="AA126" s="14">
        <f ca="1">IF(Table29[[#This Row],[5/5/2025]]&gt;TODAY(),1,)</f>
        <v>1</v>
      </c>
    </row>
    <row r="127" spans="1:27" x14ac:dyDescent="0.25">
      <c r="A127" s="52"/>
      <c r="B127" s="86" t="s">
        <v>33</v>
      </c>
      <c r="C127" s="87" t="s">
        <v>129</v>
      </c>
      <c r="D127" s="87" t="s">
        <v>130</v>
      </c>
      <c r="E127" s="86" t="s">
        <v>281</v>
      </c>
      <c r="F127" s="167">
        <v>45873</v>
      </c>
      <c r="G127" s="167">
        <v>45873</v>
      </c>
      <c r="H127" s="88">
        <v>0.33333333333333331</v>
      </c>
      <c r="I127" s="88"/>
      <c r="J127" s="88"/>
      <c r="K127" s="88"/>
      <c r="L127" s="88"/>
      <c r="M127" s="88"/>
      <c r="N127" s="88"/>
      <c r="O127" s="86" t="s">
        <v>241</v>
      </c>
      <c r="P127" s="86"/>
      <c r="Q127" s="14">
        <v>30</v>
      </c>
      <c r="R127" s="14">
        <v>1</v>
      </c>
      <c r="S127" s="14"/>
      <c r="T127" s="90"/>
      <c r="U127" s="14"/>
      <c r="V127" s="14"/>
      <c r="W127" s="14"/>
      <c r="X127" s="86"/>
      <c r="Y127" s="59">
        <f ca="1">Table29[[#This Row],[5/9/2025]]+2-TODAY()</f>
        <v>57</v>
      </c>
      <c r="Z127" s="14">
        <f>IF(ISBLANK(Table29[[#This Row],[Roster Received By]]),1,0)</f>
        <v>1</v>
      </c>
      <c r="AA127" s="14">
        <f ca="1">IF(Table29[[#This Row],[5/5/2025]]&gt;TODAY(),1,)</f>
        <v>1</v>
      </c>
    </row>
    <row r="128" spans="1:27" x14ac:dyDescent="0.25">
      <c r="A128" s="52"/>
      <c r="B128" s="86" t="s">
        <v>33</v>
      </c>
      <c r="C128" s="87" t="s">
        <v>129</v>
      </c>
      <c r="D128" s="87" t="s">
        <v>130</v>
      </c>
      <c r="E128" s="86" t="s">
        <v>290</v>
      </c>
      <c r="F128" s="89">
        <v>45875</v>
      </c>
      <c r="G128" s="89">
        <v>45875</v>
      </c>
      <c r="H128" s="88">
        <v>0.33333333333333331</v>
      </c>
      <c r="I128" s="92"/>
      <c r="J128" s="92"/>
      <c r="K128" s="92"/>
      <c r="L128" s="92"/>
      <c r="M128" s="92"/>
      <c r="N128" s="89"/>
      <c r="O128" s="86" t="s">
        <v>241</v>
      </c>
      <c r="P128" s="86"/>
      <c r="Q128" s="14">
        <v>30</v>
      </c>
      <c r="R128" s="14">
        <v>1</v>
      </c>
      <c r="S128" s="14"/>
      <c r="T128" s="90"/>
      <c r="U128" s="14"/>
      <c r="V128" s="14"/>
      <c r="W128" s="14"/>
      <c r="X128" s="86"/>
      <c r="Y128" s="59">
        <f ca="1">Table29[[#This Row],[5/9/2025]]+2-TODAY()</f>
        <v>59</v>
      </c>
      <c r="Z128" s="14">
        <f>IF(ISBLANK(Table29[[#This Row],[Roster Received By]]),1,0)</f>
        <v>1</v>
      </c>
      <c r="AA128" s="14">
        <f ca="1">IF(Table29[[#This Row],[5/5/2025]]&gt;TODAY(),1,)</f>
        <v>1</v>
      </c>
    </row>
    <row r="129" spans="1:27" x14ac:dyDescent="0.25">
      <c r="A129" s="52"/>
      <c r="B129" s="86" t="s">
        <v>33</v>
      </c>
      <c r="C129" s="87" t="s">
        <v>129</v>
      </c>
      <c r="D129" s="87" t="s">
        <v>130</v>
      </c>
      <c r="E129" s="86" t="s">
        <v>404</v>
      </c>
      <c r="F129" s="89">
        <v>45883</v>
      </c>
      <c r="G129" s="89">
        <v>45883</v>
      </c>
      <c r="H129" s="88">
        <v>0.33333333333333331</v>
      </c>
      <c r="I129" s="92"/>
      <c r="J129" s="89"/>
      <c r="K129" s="89"/>
      <c r="L129" s="89"/>
      <c r="M129" s="89"/>
      <c r="N129" s="89"/>
      <c r="O129" s="86" t="s">
        <v>241</v>
      </c>
      <c r="P129" s="86"/>
      <c r="Q129" s="14">
        <v>30</v>
      </c>
      <c r="R129" s="14">
        <v>1</v>
      </c>
      <c r="S129" s="14"/>
      <c r="T129" s="90"/>
      <c r="U129" s="14"/>
      <c r="V129" s="14"/>
      <c r="W129" s="14"/>
      <c r="X129" s="86"/>
      <c r="Y129" s="59">
        <f ca="1">Table29[[#This Row],[5/9/2025]]+2-TODAY()</f>
        <v>67</v>
      </c>
      <c r="Z129" s="14">
        <f>IF(ISBLANK(Table29[[#This Row],[Roster Received By]]),1,0)</f>
        <v>1</v>
      </c>
      <c r="AA129" s="14">
        <f ca="1">IF(Table29[[#This Row],[5/5/2025]]&gt;TODAY(),1,)</f>
        <v>1</v>
      </c>
    </row>
    <row r="130" spans="1:27" x14ac:dyDescent="0.25">
      <c r="A130" s="52"/>
      <c r="B130" s="86" t="s">
        <v>33</v>
      </c>
      <c r="C130" s="87" t="s">
        <v>129</v>
      </c>
      <c r="D130" s="87" t="s">
        <v>130</v>
      </c>
      <c r="E130" s="86" t="s">
        <v>364</v>
      </c>
      <c r="F130" s="89">
        <v>45894</v>
      </c>
      <c r="G130" s="89">
        <v>45894</v>
      </c>
      <c r="H130" s="88">
        <v>0.33333333333333331</v>
      </c>
      <c r="I130" s="88"/>
      <c r="J130" s="88"/>
      <c r="K130" s="88"/>
      <c r="L130" s="88"/>
      <c r="M130" s="88"/>
      <c r="N130" s="88"/>
      <c r="O130" s="86" t="s">
        <v>241</v>
      </c>
      <c r="P130" s="86"/>
      <c r="Q130" s="14">
        <v>30</v>
      </c>
      <c r="R130" s="14">
        <v>1</v>
      </c>
      <c r="S130" s="14"/>
      <c r="T130" s="90"/>
      <c r="U130" s="14"/>
      <c r="V130" s="14"/>
      <c r="W130" s="14"/>
      <c r="X130" s="86"/>
      <c r="Y130" s="59">
        <f ca="1">Table29[[#This Row],[5/9/2025]]+2-TODAY()</f>
        <v>78</v>
      </c>
      <c r="Z130" s="14">
        <f>IF(ISBLANK(Table29[[#This Row],[Roster Received By]]),1,0)</f>
        <v>1</v>
      </c>
      <c r="AA130" s="14">
        <f ca="1">IF(Table29[[#This Row],[5/5/2025]]&gt;TODAY(),1,)</f>
        <v>1</v>
      </c>
    </row>
    <row r="131" spans="1:27" x14ac:dyDescent="0.25">
      <c r="A131" s="52"/>
      <c r="B131" s="86" t="s">
        <v>34</v>
      </c>
      <c r="C131" s="87" t="s">
        <v>131</v>
      </c>
      <c r="D131" s="87" t="s">
        <v>132</v>
      </c>
      <c r="E131" s="86" t="s">
        <v>174</v>
      </c>
      <c r="F131" s="89">
        <v>45680</v>
      </c>
      <c r="G131" s="89">
        <v>45680</v>
      </c>
      <c r="H131" s="88">
        <v>0.33333333333333331</v>
      </c>
      <c r="I131" s="88"/>
      <c r="J131" s="88"/>
      <c r="K131" s="88"/>
      <c r="L131" s="88"/>
      <c r="M131" s="88"/>
      <c r="N131" s="88"/>
      <c r="O131" s="86" t="s">
        <v>241</v>
      </c>
      <c r="P131" s="86"/>
      <c r="Q131" s="14">
        <v>30</v>
      </c>
      <c r="R131" s="14">
        <v>1</v>
      </c>
      <c r="S131" s="14"/>
      <c r="T131" s="90"/>
      <c r="U131" s="14"/>
      <c r="V131" s="14"/>
      <c r="W131" s="14"/>
      <c r="X131" s="86"/>
      <c r="Y131" s="59">
        <f ca="1">Table29[[#This Row],[5/9/2025]]+2-TODAY()</f>
        <v>-136</v>
      </c>
      <c r="Z131" s="14">
        <f>IF(ISBLANK(Table29[[#This Row],[Roster Received By]]),1,0)</f>
        <v>1</v>
      </c>
      <c r="AA131" s="14">
        <f ca="1">IF(Table29[[#This Row],[5/5/2025]]&gt;TODAY(),1,)</f>
        <v>0</v>
      </c>
    </row>
    <row r="132" spans="1:27" x14ac:dyDescent="0.25">
      <c r="A132" s="52" t="s">
        <v>523</v>
      </c>
      <c r="B132" s="86" t="s">
        <v>34</v>
      </c>
      <c r="C132" s="87" t="s">
        <v>131</v>
      </c>
      <c r="D132" s="87" t="s">
        <v>132</v>
      </c>
      <c r="E132" s="86" t="s">
        <v>284</v>
      </c>
      <c r="F132" s="89">
        <v>45694</v>
      </c>
      <c r="G132" s="89">
        <v>45694</v>
      </c>
      <c r="H132" s="88">
        <v>0.33333333333333331</v>
      </c>
      <c r="I132" s="88"/>
      <c r="J132" s="88"/>
      <c r="K132" s="88"/>
      <c r="L132" s="88"/>
      <c r="M132" s="88"/>
      <c r="N132" s="88"/>
      <c r="O132" s="86" t="s">
        <v>241</v>
      </c>
      <c r="P132" s="86"/>
      <c r="Q132" s="14">
        <v>30</v>
      </c>
      <c r="R132" s="14">
        <v>1</v>
      </c>
      <c r="S132" s="14"/>
      <c r="T132" s="90"/>
      <c r="U132" s="14"/>
      <c r="V132" s="14"/>
      <c r="W132" s="14"/>
      <c r="X132" s="86"/>
      <c r="Y132" s="59">
        <f ca="1">Table29[[#This Row],[5/9/2025]]+2-TODAY()</f>
        <v>-122</v>
      </c>
      <c r="Z132" s="14">
        <f>IF(ISBLANK(Table29[[#This Row],[Roster Received By]]),1,0)</f>
        <v>1</v>
      </c>
      <c r="AA132" s="14">
        <f ca="1">IF(Table29[[#This Row],[5/5/2025]]&gt;TODAY(),1,)</f>
        <v>0</v>
      </c>
    </row>
    <row r="133" spans="1:27" x14ac:dyDescent="0.25">
      <c r="A133" t="s">
        <v>529</v>
      </c>
      <c r="B133" s="86" t="s">
        <v>34</v>
      </c>
      <c r="C133" s="87" t="s">
        <v>131</v>
      </c>
      <c r="D133" s="87" t="s">
        <v>132</v>
      </c>
      <c r="E133" s="99" t="s">
        <v>216</v>
      </c>
      <c r="F133" s="89">
        <v>45698</v>
      </c>
      <c r="G133" s="89">
        <v>45698</v>
      </c>
      <c r="H133" s="88">
        <v>0.33333333333333331</v>
      </c>
      <c r="I133" s="88"/>
      <c r="J133" s="88"/>
      <c r="K133" s="88"/>
      <c r="L133" s="88"/>
      <c r="M133" s="88"/>
      <c r="N133" s="88"/>
      <c r="O133" s="86" t="s">
        <v>241</v>
      </c>
      <c r="P133" s="86"/>
      <c r="Q133" s="14">
        <v>30</v>
      </c>
      <c r="R133" s="14">
        <v>1</v>
      </c>
      <c r="S133" s="14"/>
      <c r="T133" s="90"/>
      <c r="U133" s="14"/>
      <c r="V133" s="14"/>
      <c r="W133" s="14"/>
      <c r="X133" s="86"/>
      <c r="Y133" s="59">
        <f ca="1">Table29[[#This Row],[5/9/2025]]+2-TODAY()</f>
        <v>-118</v>
      </c>
      <c r="Z133" s="14">
        <f>IF(ISBLANK(Table29[[#This Row],[Roster Received By]]),1,0)</f>
        <v>1</v>
      </c>
      <c r="AA133" s="14">
        <f ca="1">IF(Table29[[#This Row],[5/5/2025]]&gt;TODAY(),1,)</f>
        <v>0</v>
      </c>
    </row>
    <row r="134" spans="1:27" x14ac:dyDescent="0.25">
      <c r="A134" s="52"/>
      <c r="B134" s="86" t="s">
        <v>34</v>
      </c>
      <c r="C134" s="87" t="s">
        <v>131</v>
      </c>
      <c r="D134" s="87" t="s">
        <v>132</v>
      </c>
      <c r="E134" s="86" t="s">
        <v>239</v>
      </c>
      <c r="F134" s="89">
        <v>45729</v>
      </c>
      <c r="G134" s="89">
        <v>45729</v>
      </c>
      <c r="H134" s="88">
        <v>0.33333333333333331</v>
      </c>
      <c r="I134" s="92"/>
      <c r="J134" s="89"/>
      <c r="K134" s="89"/>
      <c r="L134" s="89"/>
      <c r="M134" s="89"/>
      <c r="N134" s="89"/>
      <c r="O134" s="86" t="s">
        <v>241</v>
      </c>
      <c r="P134" s="86"/>
      <c r="Q134" s="14">
        <v>30</v>
      </c>
      <c r="R134" s="14">
        <v>1</v>
      </c>
      <c r="S134" s="14"/>
      <c r="T134" s="90"/>
      <c r="U134" s="14"/>
      <c r="V134" s="14"/>
      <c r="W134" s="14"/>
      <c r="X134" s="86"/>
      <c r="Y134" s="59">
        <f ca="1">Table29[[#This Row],[5/9/2025]]+2-TODAY()</f>
        <v>-87</v>
      </c>
      <c r="Z134" s="14">
        <f>IF(ISBLANK(Table29[[#This Row],[Roster Received By]]),1,0)</f>
        <v>1</v>
      </c>
      <c r="AA134" s="14">
        <f ca="1">IF(Table29[[#This Row],[5/5/2025]]&gt;TODAY(),1,)</f>
        <v>0</v>
      </c>
    </row>
    <row r="135" spans="1:27" x14ac:dyDescent="0.25">
      <c r="A135" s="52"/>
      <c r="B135" s="86" t="s">
        <v>34</v>
      </c>
      <c r="C135" s="87" t="s">
        <v>131</v>
      </c>
      <c r="D135" s="87" t="s">
        <v>132</v>
      </c>
      <c r="E135" s="86" t="s">
        <v>179</v>
      </c>
      <c r="F135" s="89">
        <v>45735</v>
      </c>
      <c r="G135" s="89">
        <v>45735</v>
      </c>
      <c r="H135" s="88">
        <v>0.33333333333333331</v>
      </c>
      <c r="I135" s="92"/>
      <c r="J135" s="89"/>
      <c r="K135" s="89"/>
      <c r="L135" s="89"/>
      <c r="M135" s="89"/>
      <c r="N135" s="89"/>
      <c r="O135" s="86" t="s">
        <v>241</v>
      </c>
      <c r="P135" s="86"/>
      <c r="Q135" s="14">
        <v>30</v>
      </c>
      <c r="R135" s="14">
        <v>1</v>
      </c>
      <c r="S135" s="14"/>
      <c r="T135" s="90"/>
      <c r="U135" s="14"/>
      <c r="V135" s="14"/>
      <c r="W135" s="94"/>
      <c r="X135" s="86"/>
      <c r="Y135" s="59">
        <f ca="1">Table29[[#This Row],[5/9/2025]]+2-TODAY()</f>
        <v>-81</v>
      </c>
      <c r="Z135" s="14">
        <f>IF(ISBLANK(Table29[[#This Row],[Roster Received By]]),1,0)</f>
        <v>1</v>
      </c>
      <c r="AA135" s="14">
        <f ca="1">IF(Table29[[#This Row],[5/5/2025]]&gt;TODAY(),1,)</f>
        <v>0</v>
      </c>
    </row>
    <row r="136" spans="1:27" x14ac:dyDescent="0.25">
      <c r="A136" s="52"/>
      <c r="B136" s="86" t="s">
        <v>34</v>
      </c>
      <c r="C136" s="87" t="s">
        <v>131</v>
      </c>
      <c r="D136" s="87" t="s">
        <v>132</v>
      </c>
      <c r="E136" s="86" t="s">
        <v>414</v>
      </c>
      <c r="F136" s="89">
        <v>45757</v>
      </c>
      <c r="G136" s="89">
        <v>45757</v>
      </c>
      <c r="H136" s="88">
        <v>0.33333333333333331</v>
      </c>
      <c r="I136" s="88"/>
      <c r="J136" s="88"/>
      <c r="K136" s="88"/>
      <c r="L136" s="88"/>
      <c r="M136" s="88"/>
      <c r="N136" s="88"/>
      <c r="O136" s="86" t="s">
        <v>241</v>
      </c>
      <c r="P136" s="86"/>
      <c r="Q136" s="14">
        <v>30</v>
      </c>
      <c r="R136" s="14">
        <v>1</v>
      </c>
      <c r="S136" s="14"/>
      <c r="T136" s="90"/>
      <c r="U136" s="14"/>
      <c r="V136" s="14"/>
      <c r="W136" s="14"/>
      <c r="X136" s="86"/>
      <c r="Y136" s="59">
        <f ca="1">Table29[[#This Row],[5/9/2025]]+2-TODAY()</f>
        <v>-59</v>
      </c>
      <c r="Z136" s="14">
        <f>IF(ISBLANK(Table29[[#This Row],[Roster Received By]]),1,0)</f>
        <v>1</v>
      </c>
      <c r="AA136" s="14">
        <f ca="1">IF(Table29[[#This Row],[5/5/2025]]&gt;TODAY(),1,)</f>
        <v>0</v>
      </c>
    </row>
    <row r="137" spans="1:27" x14ac:dyDescent="0.25">
      <c r="A137" s="52"/>
      <c r="B137" s="86" t="s">
        <v>34</v>
      </c>
      <c r="C137" s="87" t="s">
        <v>131</v>
      </c>
      <c r="D137" s="87" t="s">
        <v>132</v>
      </c>
      <c r="E137" s="86" t="s">
        <v>250</v>
      </c>
      <c r="F137" s="89">
        <v>45764</v>
      </c>
      <c r="G137" s="89">
        <v>45764</v>
      </c>
      <c r="H137" s="88">
        <v>0.33333333333333331</v>
      </c>
      <c r="I137" s="88"/>
      <c r="J137" s="88"/>
      <c r="K137" s="88"/>
      <c r="L137" s="88"/>
      <c r="M137" s="88"/>
      <c r="N137" s="88"/>
      <c r="O137" s="86" t="s">
        <v>241</v>
      </c>
      <c r="P137" s="86"/>
      <c r="Q137" s="14">
        <v>30</v>
      </c>
      <c r="R137" s="14">
        <v>1</v>
      </c>
      <c r="S137" s="14"/>
      <c r="T137" s="90"/>
      <c r="U137" s="14"/>
      <c r="V137" s="14"/>
      <c r="W137" s="87"/>
      <c r="X137" s="86"/>
      <c r="Y137" s="59">
        <f ca="1">Table29[[#This Row],[5/9/2025]]+2-TODAY()</f>
        <v>-52</v>
      </c>
      <c r="Z137" s="14">
        <f>IF(ISBLANK(Table29[[#This Row],[Roster Received By]]),1,0)</f>
        <v>1</v>
      </c>
      <c r="AA137" s="14">
        <f ca="1">IF(Table29[[#This Row],[5/5/2025]]&gt;TODAY(),1,)</f>
        <v>0</v>
      </c>
    </row>
    <row r="138" spans="1:27" x14ac:dyDescent="0.25">
      <c r="A138" s="86"/>
      <c r="B138" s="86" t="s">
        <v>34</v>
      </c>
      <c r="C138" s="87" t="s">
        <v>131</v>
      </c>
      <c r="D138" s="87" t="s">
        <v>132</v>
      </c>
      <c r="E138" s="86" t="s">
        <v>172</v>
      </c>
      <c r="F138" s="89">
        <v>45785</v>
      </c>
      <c r="G138" s="89">
        <v>45785</v>
      </c>
      <c r="H138" s="88">
        <v>0.33333333333333331</v>
      </c>
      <c r="I138" s="92"/>
      <c r="J138" s="89"/>
      <c r="K138" s="89"/>
      <c r="L138" s="89"/>
      <c r="M138" s="89"/>
      <c r="N138" s="89"/>
      <c r="O138" s="86" t="s">
        <v>241</v>
      </c>
      <c r="P138" s="86"/>
      <c r="Q138" s="14">
        <v>30</v>
      </c>
      <c r="R138" s="14">
        <v>1</v>
      </c>
      <c r="S138" s="14"/>
      <c r="T138" s="90"/>
      <c r="U138" s="14"/>
      <c r="V138" s="14"/>
      <c r="W138" s="14"/>
      <c r="X138" s="86"/>
      <c r="Y138" s="59">
        <f ca="1">Table29[[#This Row],[5/9/2025]]+2-TODAY()</f>
        <v>-31</v>
      </c>
      <c r="Z138" s="14">
        <f>IF(ISBLANK(Table29[[#This Row],[Roster Received By]]),1,0)</f>
        <v>1</v>
      </c>
      <c r="AA138" s="14">
        <f ca="1">IF(Table29[[#This Row],[5/5/2025]]&gt;TODAY(),1,)</f>
        <v>0</v>
      </c>
    </row>
    <row r="139" spans="1:27" x14ac:dyDescent="0.25">
      <c r="A139" s="52"/>
      <c r="B139" s="86" t="s">
        <v>35</v>
      </c>
      <c r="C139" s="87" t="s">
        <v>144</v>
      </c>
      <c r="D139" s="87" t="s">
        <v>145</v>
      </c>
      <c r="E139" s="86" t="s">
        <v>174</v>
      </c>
      <c r="F139" s="161">
        <v>45681</v>
      </c>
      <c r="G139" s="161">
        <v>45681</v>
      </c>
      <c r="H139" s="88">
        <v>0.33333333333333331</v>
      </c>
      <c r="I139" s="88"/>
      <c r="J139" s="88"/>
      <c r="K139" s="88"/>
      <c r="L139" s="88"/>
      <c r="M139" s="88"/>
      <c r="N139" s="88"/>
      <c r="O139" s="86" t="s">
        <v>241</v>
      </c>
      <c r="P139" s="86"/>
      <c r="Q139" s="14">
        <v>30</v>
      </c>
      <c r="R139" s="14">
        <v>1</v>
      </c>
      <c r="S139" s="14"/>
      <c r="T139" s="90"/>
      <c r="U139" s="14"/>
      <c r="V139" s="14"/>
      <c r="W139" s="14"/>
      <c r="X139" s="86"/>
      <c r="Y139" s="59">
        <f ca="1">Table29[[#This Row],[5/9/2025]]+2-TODAY()</f>
        <v>-135</v>
      </c>
      <c r="Z139" s="14">
        <f>IF(ISBLANK(Table29[[#This Row],[Roster Received By]]),1,0)</f>
        <v>1</v>
      </c>
      <c r="AA139" s="14">
        <f ca="1">IF(Table29[[#This Row],[5/5/2025]]&gt;TODAY(),1,)</f>
        <v>0</v>
      </c>
    </row>
    <row r="140" spans="1:27" x14ac:dyDescent="0.25">
      <c r="A140" s="52" t="s">
        <v>523</v>
      </c>
      <c r="B140" s="86" t="s">
        <v>35</v>
      </c>
      <c r="C140" s="87" t="s">
        <v>144</v>
      </c>
      <c r="D140" s="87" t="s">
        <v>145</v>
      </c>
      <c r="E140" s="86" t="s">
        <v>284</v>
      </c>
      <c r="F140" s="89">
        <v>45695</v>
      </c>
      <c r="G140" s="89">
        <v>45695</v>
      </c>
      <c r="H140" s="88">
        <v>0.33333333333333331</v>
      </c>
      <c r="I140" s="88"/>
      <c r="J140" s="88"/>
      <c r="K140" s="88"/>
      <c r="L140" s="88"/>
      <c r="M140" s="88"/>
      <c r="N140" s="88"/>
      <c r="O140" s="86" t="s">
        <v>241</v>
      </c>
      <c r="P140" s="86"/>
      <c r="Q140" s="14">
        <v>30</v>
      </c>
      <c r="R140" s="14">
        <v>1</v>
      </c>
      <c r="S140" s="14"/>
      <c r="T140" s="90"/>
      <c r="U140" s="14"/>
      <c r="V140" s="14"/>
      <c r="W140" s="14"/>
      <c r="X140" s="86"/>
      <c r="Y140" s="59">
        <f ca="1">Table29[[#This Row],[5/9/2025]]+2-TODAY()</f>
        <v>-121</v>
      </c>
      <c r="Z140" s="14">
        <f>IF(ISBLANK(Table29[[#This Row],[Roster Received By]]),1,0)</f>
        <v>1</v>
      </c>
      <c r="AA140" s="14">
        <f ca="1">IF(Table29[[#This Row],[5/5/2025]]&gt;TODAY(),1,)</f>
        <v>0</v>
      </c>
    </row>
    <row r="141" spans="1:27" x14ac:dyDescent="0.25">
      <c r="A141" s="52" t="s">
        <v>529</v>
      </c>
      <c r="B141" s="86" t="s">
        <v>35</v>
      </c>
      <c r="C141" s="87" t="s">
        <v>144</v>
      </c>
      <c r="D141" s="87" t="s">
        <v>145</v>
      </c>
      <c r="E141" s="99" t="s">
        <v>216</v>
      </c>
      <c r="F141" s="56">
        <v>45699</v>
      </c>
      <c r="G141" s="56">
        <v>45699</v>
      </c>
      <c r="H141" s="88">
        <v>0.33333333333333331</v>
      </c>
      <c r="I141" s="92"/>
      <c r="J141" s="89"/>
      <c r="K141" s="89"/>
      <c r="L141" s="89"/>
      <c r="M141" s="89"/>
      <c r="N141" s="89"/>
      <c r="O141" s="86" t="s">
        <v>241</v>
      </c>
      <c r="P141" s="86"/>
      <c r="Q141" s="14">
        <v>30</v>
      </c>
      <c r="R141" s="14">
        <v>1</v>
      </c>
      <c r="S141" s="14"/>
      <c r="T141" s="90"/>
      <c r="U141" s="14"/>
      <c r="V141" s="14"/>
      <c r="W141" s="87"/>
      <c r="X141" s="86"/>
      <c r="Y141" s="96">
        <f ca="1">Table29[[#This Row],[5/9/2025]]+2-TODAY()</f>
        <v>-117</v>
      </c>
      <c r="Z141" s="14">
        <f>IF(ISBLANK(Table29[[#This Row],[Roster Received By]]),1,0)</f>
        <v>1</v>
      </c>
      <c r="AA141" s="87">
        <f ca="1">IF(Table29[[#This Row],[5/5/2025]]&gt;TODAY(),1,)</f>
        <v>0</v>
      </c>
    </row>
    <row r="142" spans="1:27" x14ac:dyDescent="0.25">
      <c r="A142" s="52"/>
      <c r="B142" s="86" t="s">
        <v>35</v>
      </c>
      <c r="C142" s="87" t="s">
        <v>144</v>
      </c>
      <c r="D142" s="87" t="s">
        <v>145</v>
      </c>
      <c r="E142" s="86" t="s">
        <v>239</v>
      </c>
      <c r="F142" s="89">
        <v>45730</v>
      </c>
      <c r="G142" s="89">
        <v>45730</v>
      </c>
      <c r="H142" s="88">
        <v>0.33333333333333331</v>
      </c>
      <c r="I142" s="92"/>
      <c r="J142" s="89"/>
      <c r="K142" s="89"/>
      <c r="L142" s="89"/>
      <c r="M142" s="89"/>
      <c r="N142" s="89"/>
      <c r="O142" s="86" t="s">
        <v>241</v>
      </c>
      <c r="P142" s="86"/>
      <c r="Q142" s="14">
        <v>30</v>
      </c>
      <c r="R142" s="14">
        <v>1</v>
      </c>
      <c r="S142" s="14"/>
      <c r="T142" s="90"/>
      <c r="U142" s="14"/>
      <c r="V142" s="14"/>
      <c r="W142" s="14"/>
      <c r="X142" s="86"/>
      <c r="Y142" s="59">
        <f ca="1">Table29[[#This Row],[5/9/2025]]+2-TODAY()</f>
        <v>-86</v>
      </c>
      <c r="Z142" s="14">
        <f>IF(ISBLANK(Table29[[#This Row],[Roster Received By]]),1,0)</f>
        <v>1</v>
      </c>
      <c r="AA142" s="14">
        <f ca="1">IF(Table29[[#This Row],[5/5/2025]]&gt;TODAY(),1,)</f>
        <v>0</v>
      </c>
    </row>
    <row r="143" spans="1:27" x14ac:dyDescent="0.25">
      <c r="A143" s="52"/>
      <c r="B143" s="86" t="s">
        <v>35</v>
      </c>
      <c r="C143" s="87" t="s">
        <v>144</v>
      </c>
      <c r="D143" s="87" t="s">
        <v>145</v>
      </c>
      <c r="E143" s="86" t="s">
        <v>179</v>
      </c>
      <c r="F143" s="56">
        <v>45736</v>
      </c>
      <c r="G143" s="56">
        <v>45736</v>
      </c>
      <c r="H143" s="88">
        <v>0.33333333333333331</v>
      </c>
      <c r="I143" s="88"/>
      <c r="J143" s="88"/>
      <c r="K143" s="88"/>
      <c r="L143" s="88"/>
      <c r="M143" s="88"/>
      <c r="N143" s="88"/>
      <c r="O143" s="86" t="s">
        <v>241</v>
      </c>
      <c r="P143" s="86"/>
      <c r="Q143" s="14">
        <v>30</v>
      </c>
      <c r="R143" s="14">
        <v>1</v>
      </c>
      <c r="S143" s="14"/>
      <c r="T143" s="90"/>
      <c r="U143" s="14"/>
      <c r="V143" s="14"/>
      <c r="W143" s="14"/>
      <c r="X143" s="86"/>
      <c r="Y143" s="59">
        <f ca="1">Table29[[#This Row],[5/9/2025]]+2-TODAY()</f>
        <v>-80</v>
      </c>
      <c r="Z143" s="14">
        <f>IF(ISBLANK(Table29[[#This Row],[Roster Received By]]),1,0)</f>
        <v>1</v>
      </c>
      <c r="AA143" s="14">
        <f ca="1">IF(Table29[[#This Row],[5/5/2025]]&gt;TODAY(),1,)</f>
        <v>0</v>
      </c>
    </row>
    <row r="144" spans="1:27" x14ac:dyDescent="0.25">
      <c r="A144" s="52"/>
      <c r="B144" s="86" t="s">
        <v>35</v>
      </c>
      <c r="C144" s="87" t="s">
        <v>144</v>
      </c>
      <c r="D144" s="87" t="s">
        <v>145</v>
      </c>
      <c r="E144" s="86" t="s">
        <v>414</v>
      </c>
      <c r="F144" s="161">
        <v>45758</v>
      </c>
      <c r="G144" s="89">
        <v>45758</v>
      </c>
      <c r="H144" s="88">
        <v>0.33333333333333331</v>
      </c>
      <c r="I144" s="88"/>
      <c r="J144" s="88"/>
      <c r="K144" s="88"/>
      <c r="L144" s="88"/>
      <c r="M144" s="88"/>
      <c r="N144" s="88"/>
      <c r="O144" s="86" t="s">
        <v>241</v>
      </c>
      <c r="P144" s="86"/>
      <c r="Q144" s="14">
        <v>30</v>
      </c>
      <c r="R144" s="14">
        <v>1</v>
      </c>
      <c r="S144" s="14"/>
      <c r="T144" s="90"/>
      <c r="U144" s="14"/>
      <c r="V144" s="14"/>
      <c r="W144" s="14"/>
      <c r="X144" s="86"/>
      <c r="Y144" s="59">
        <f ca="1">Table29[[#This Row],[5/9/2025]]+2-TODAY()</f>
        <v>-58</v>
      </c>
      <c r="Z144" s="14">
        <f>IF(ISBLANK(Table29[[#This Row],[Roster Received By]]),1,0)</f>
        <v>1</v>
      </c>
      <c r="AA144" s="14">
        <f ca="1">IF(Table29[[#This Row],[5/5/2025]]&gt;TODAY(),1,)</f>
        <v>0</v>
      </c>
    </row>
    <row r="145" spans="1:27" x14ac:dyDescent="0.25">
      <c r="A145" s="86"/>
      <c r="B145" s="86" t="s">
        <v>35</v>
      </c>
      <c r="C145" s="87" t="s">
        <v>144</v>
      </c>
      <c r="D145" s="87" t="s">
        <v>145</v>
      </c>
      <c r="E145" s="86" t="s">
        <v>250</v>
      </c>
      <c r="F145" s="161">
        <v>45765</v>
      </c>
      <c r="G145" s="161">
        <v>45765</v>
      </c>
      <c r="H145" s="88">
        <v>0.33333333333333331</v>
      </c>
      <c r="I145" s="92"/>
      <c r="J145" s="89"/>
      <c r="K145" s="89"/>
      <c r="L145" s="89"/>
      <c r="M145" s="89"/>
      <c r="N145" s="89"/>
      <c r="O145" s="86" t="s">
        <v>241</v>
      </c>
      <c r="P145" s="86"/>
      <c r="Q145" s="90">
        <v>30</v>
      </c>
      <c r="R145" s="91">
        <v>1</v>
      </c>
      <c r="S145" s="90"/>
      <c r="T145" s="90"/>
      <c r="U145" s="14"/>
      <c r="V145" s="14"/>
      <c r="W145" s="14"/>
      <c r="X145" s="86"/>
      <c r="Y145" s="59">
        <f ca="1">Table29[[#This Row],[5/9/2025]]+2-TODAY()</f>
        <v>-51</v>
      </c>
      <c r="Z145" s="14">
        <f>IF(ISBLANK(Table29[[#This Row],[Roster Received By]]),1,0)</f>
        <v>1</v>
      </c>
      <c r="AA145" s="14">
        <f ca="1">IF(Table29[[#This Row],[5/5/2025]]&gt;TODAY(),1,)</f>
        <v>0</v>
      </c>
    </row>
    <row r="146" spans="1:27" x14ac:dyDescent="0.25">
      <c r="A146" s="52"/>
      <c r="B146" s="86" t="s">
        <v>35</v>
      </c>
      <c r="C146" s="87" t="s">
        <v>144</v>
      </c>
      <c r="D146" s="87" t="s">
        <v>145</v>
      </c>
      <c r="E146" s="86" t="s">
        <v>172</v>
      </c>
      <c r="F146" s="89">
        <v>45786</v>
      </c>
      <c r="G146" s="89">
        <v>45786</v>
      </c>
      <c r="H146" s="88">
        <v>0.33333333333333331</v>
      </c>
      <c r="I146" s="92"/>
      <c r="J146" s="89"/>
      <c r="K146" s="89"/>
      <c r="L146" s="89"/>
      <c r="M146" s="89"/>
      <c r="N146" s="89"/>
      <c r="O146" s="86" t="s">
        <v>241</v>
      </c>
      <c r="P146" s="86"/>
      <c r="Q146" s="14">
        <v>30</v>
      </c>
      <c r="R146" s="14">
        <v>1</v>
      </c>
      <c r="S146" s="14"/>
      <c r="T146" s="90"/>
      <c r="U146" s="14"/>
      <c r="V146" s="14"/>
      <c r="W146" s="87"/>
      <c r="X146" s="86"/>
      <c r="Y146" s="59">
        <f ca="1">Table29[[#This Row],[5/9/2025]]+2-TODAY()</f>
        <v>-30</v>
      </c>
      <c r="Z146" s="14">
        <f>IF(ISBLANK(Table29[[#This Row],[Roster Received By]]),1,0)</f>
        <v>1</v>
      </c>
      <c r="AA146" s="14">
        <f ca="1">IF(Table29[[#This Row],[5/5/2025]]&gt;TODAY(),1,)</f>
        <v>0</v>
      </c>
    </row>
    <row r="147" spans="1:27" x14ac:dyDescent="0.25">
      <c r="A147" s="86"/>
      <c r="B147" s="86" t="s">
        <v>35</v>
      </c>
      <c r="C147" s="87" t="s">
        <v>144</v>
      </c>
      <c r="D147" s="87" t="s">
        <v>145</v>
      </c>
      <c r="E147" s="86" t="s">
        <v>300</v>
      </c>
      <c r="F147" s="161">
        <v>45812</v>
      </c>
      <c r="G147" s="161">
        <v>45812</v>
      </c>
      <c r="H147" s="88">
        <v>0.33333333333333331</v>
      </c>
      <c r="I147" s="95"/>
      <c r="J147" s="89"/>
      <c r="K147" s="89"/>
      <c r="L147" s="89"/>
      <c r="M147" s="89"/>
      <c r="N147" s="89"/>
      <c r="O147" s="86" t="s">
        <v>241</v>
      </c>
      <c r="P147" s="86"/>
      <c r="Q147" s="14">
        <v>30</v>
      </c>
      <c r="R147" s="14">
        <v>1</v>
      </c>
      <c r="S147" s="14"/>
      <c r="T147" s="90"/>
      <c r="U147" s="14"/>
      <c r="V147" s="14"/>
      <c r="W147" s="87"/>
      <c r="X147" s="86"/>
      <c r="Y147" s="59">
        <f ca="1">Table29[[#This Row],[5/9/2025]]+2-TODAY()</f>
        <v>-4</v>
      </c>
      <c r="Z147" s="14">
        <f>IF(ISBLANK(Table29[[#This Row],[Roster Received By]]),1,0)</f>
        <v>1</v>
      </c>
      <c r="AA147" s="14">
        <f ca="1">IF(Table29[[#This Row],[5/5/2025]]&gt;TODAY(),1,)</f>
        <v>0</v>
      </c>
    </row>
    <row r="148" spans="1:27" x14ac:dyDescent="0.25">
      <c r="A148" s="52"/>
      <c r="B148" s="86" t="s">
        <v>35</v>
      </c>
      <c r="C148" s="87" t="s">
        <v>144</v>
      </c>
      <c r="D148" s="87" t="s">
        <v>145</v>
      </c>
      <c r="E148" s="86" t="s">
        <v>173</v>
      </c>
      <c r="F148" s="161">
        <v>45814</v>
      </c>
      <c r="G148" s="161">
        <v>45814</v>
      </c>
      <c r="H148" s="88">
        <v>0.33333333333333331</v>
      </c>
      <c r="I148" s="88"/>
      <c r="J148" s="88"/>
      <c r="K148" s="88"/>
      <c r="L148" s="88"/>
      <c r="M148" s="88"/>
      <c r="N148" s="88"/>
      <c r="O148" s="86" t="s">
        <v>241</v>
      </c>
      <c r="P148" s="86"/>
      <c r="Q148" s="14">
        <v>30</v>
      </c>
      <c r="R148" s="14">
        <v>1</v>
      </c>
      <c r="S148" s="14"/>
      <c r="T148" s="90"/>
      <c r="U148" s="14"/>
      <c r="V148" s="14"/>
      <c r="W148" s="14"/>
      <c r="X148" s="86"/>
      <c r="Y148" s="59">
        <f ca="1">Table29[[#This Row],[5/9/2025]]+2-TODAY()</f>
        <v>-2</v>
      </c>
      <c r="Z148" s="14">
        <f>IF(ISBLANK(Table29[[#This Row],[Roster Received By]]),1,0)</f>
        <v>1</v>
      </c>
      <c r="AA148" s="14">
        <f ca="1">IF(Table29[[#This Row],[5/5/2025]]&gt;TODAY(),1,)</f>
        <v>0</v>
      </c>
    </row>
    <row r="149" spans="1:27" x14ac:dyDescent="0.25">
      <c r="A149" s="52"/>
      <c r="B149" s="86" t="s">
        <v>35</v>
      </c>
      <c r="C149" s="87" t="s">
        <v>144</v>
      </c>
      <c r="D149" s="87" t="s">
        <v>145</v>
      </c>
      <c r="E149" s="86" t="s">
        <v>169</v>
      </c>
      <c r="F149" s="161">
        <v>45818</v>
      </c>
      <c r="G149" s="161">
        <v>45818</v>
      </c>
      <c r="H149" s="88">
        <v>0.33333333333333331</v>
      </c>
      <c r="I149" s="88"/>
      <c r="J149" s="88"/>
      <c r="K149" s="88"/>
      <c r="L149" s="88"/>
      <c r="M149" s="88"/>
      <c r="N149" s="88"/>
      <c r="O149" s="86" t="s">
        <v>241</v>
      </c>
      <c r="P149" s="86"/>
      <c r="Q149" s="14">
        <v>30</v>
      </c>
      <c r="R149" s="14">
        <v>1</v>
      </c>
      <c r="S149" s="14"/>
      <c r="T149" s="90"/>
      <c r="U149" s="14"/>
      <c r="V149" s="14"/>
      <c r="W149" s="14"/>
      <c r="X149" s="86"/>
      <c r="Y149" s="59">
        <f ca="1">Table29[[#This Row],[5/9/2025]]+2-TODAY()</f>
        <v>2</v>
      </c>
      <c r="Z149" s="14">
        <f>IF(ISBLANK(Table29[[#This Row],[Roster Received By]]),1,0)</f>
        <v>1</v>
      </c>
      <c r="AA149" s="14">
        <f ca="1">IF(Table29[[#This Row],[5/5/2025]]&gt;TODAY(),1,)</f>
        <v>0</v>
      </c>
    </row>
    <row r="150" spans="1:27" x14ac:dyDescent="0.25">
      <c r="A150" s="52"/>
      <c r="B150" s="86" t="s">
        <v>35</v>
      </c>
      <c r="C150" s="87" t="s">
        <v>144</v>
      </c>
      <c r="D150" s="87" t="s">
        <v>145</v>
      </c>
      <c r="E150" s="86" t="s">
        <v>324</v>
      </c>
      <c r="F150" s="161">
        <v>45819</v>
      </c>
      <c r="G150" s="161">
        <v>45819</v>
      </c>
      <c r="H150" s="88">
        <v>0.33333333333333331</v>
      </c>
      <c r="I150" s="88"/>
      <c r="J150" s="88"/>
      <c r="K150" s="88"/>
      <c r="L150" s="88"/>
      <c r="M150" s="88"/>
      <c r="N150" s="88"/>
      <c r="O150" s="86" t="s">
        <v>241</v>
      </c>
      <c r="P150" s="86"/>
      <c r="Q150" s="14">
        <v>30</v>
      </c>
      <c r="R150" s="14">
        <v>1</v>
      </c>
      <c r="S150" s="14"/>
      <c r="T150" s="90"/>
      <c r="U150" s="14"/>
      <c r="V150" s="14"/>
      <c r="W150" s="14"/>
      <c r="X150" s="86"/>
      <c r="Y150" s="59">
        <f ca="1">Table29[[#This Row],[5/9/2025]]+2-TODAY()</f>
        <v>3</v>
      </c>
      <c r="Z150" s="14">
        <f>IF(ISBLANK(Table29[[#This Row],[Roster Received By]]),1,0)</f>
        <v>1</v>
      </c>
      <c r="AA150" s="14">
        <f ca="1">IF(Table29[[#This Row],[5/5/2025]]&gt;TODAY(),1,)</f>
        <v>1</v>
      </c>
    </row>
    <row r="151" spans="1:27" x14ac:dyDescent="0.25">
      <c r="A151" s="86" t="s">
        <v>530</v>
      </c>
      <c r="B151" s="86" t="s">
        <v>35</v>
      </c>
      <c r="C151" s="87" t="s">
        <v>144</v>
      </c>
      <c r="D151" s="87" t="s">
        <v>145</v>
      </c>
      <c r="E151" s="54" t="s">
        <v>424</v>
      </c>
      <c r="F151" s="161">
        <v>45820</v>
      </c>
      <c r="G151" s="161">
        <v>45820</v>
      </c>
      <c r="H151" s="88">
        <v>0.33333333333333331</v>
      </c>
      <c r="I151" s="92"/>
      <c r="J151" s="89"/>
      <c r="K151" s="89"/>
      <c r="L151" s="89"/>
      <c r="M151" s="89"/>
      <c r="N151" s="89"/>
      <c r="O151" s="86" t="s">
        <v>241</v>
      </c>
      <c r="P151" s="86"/>
      <c r="Q151" s="14">
        <v>30</v>
      </c>
      <c r="R151" s="14">
        <v>1</v>
      </c>
      <c r="S151" s="14"/>
      <c r="T151" s="90"/>
      <c r="U151" s="14"/>
      <c r="V151" s="14"/>
      <c r="W151" s="14"/>
      <c r="X151" s="86"/>
      <c r="Y151" s="59">
        <f ca="1">Table29[[#This Row],[5/9/2025]]+2-TODAY()</f>
        <v>4</v>
      </c>
      <c r="Z151" s="14">
        <f>IF(ISBLANK(Table29[[#This Row],[Roster Received By]]),1,0)</f>
        <v>1</v>
      </c>
      <c r="AA151" s="14">
        <f ca="1">IF(Table29[[#This Row],[5/5/2025]]&gt;TODAY(),1,)</f>
        <v>1</v>
      </c>
    </row>
    <row r="152" spans="1:27" x14ac:dyDescent="0.25">
      <c r="A152" s="52"/>
      <c r="B152" s="86" t="s">
        <v>35</v>
      </c>
      <c r="C152" s="87" t="s">
        <v>144</v>
      </c>
      <c r="D152" s="87" t="s">
        <v>145</v>
      </c>
      <c r="E152" s="86" t="s">
        <v>157</v>
      </c>
      <c r="F152" s="161">
        <v>45839</v>
      </c>
      <c r="G152" s="161">
        <v>45839</v>
      </c>
      <c r="H152" s="88">
        <v>0.33333333333333331</v>
      </c>
      <c r="I152" s="88"/>
      <c r="J152" s="88"/>
      <c r="K152" s="88"/>
      <c r="L152" s="88"/>
      <c r="M152" s="88"/>
      <c r="N152" s="88"/>
      <c r="O152" s="86" t="s">
        <v>241</v>
      </c>
      <c r="P152" s="86"/>
      <c r="Q152" s="14">
        <v>30</v>
      </c>
      <c r="R152" s="14">
        <v>1</v>
      </c>
      <c r="S152" s="14"/>
      <c r="T152" s="90"/>
      <c r="U152" s="14"/>
      <c r="V152" s="14"/>
      <c r="W152" s="14"/>
      <c r="X152" s="86"/>
      <c r="Y152" s="59">
        <f ca="1">Table29[[#This Row],[5/9/2025]]+2-TODAY()</f>
        <v>23</v>
      </c>
      <c r="Z152" s="14">
        <f>IF(ISBLANK(Table29[[#This Row],[Roster Received By]]),1,0)</f>
        <v>1</v>
      </c>
      <c r="AA152" s="14">
        <f ca="1">IF(Table29[[#This Row],[5/5/2025]]&gt;TODAY(),1,)</f>
        <v>1</v>
      </c>
    </row>
    <row r="153" spans="1:27" x14ac:dyDescent="0.25">
      <c r="A153" s="86"/>
      <c r="B153" s="86" t="s">
        <v>35</v>
      </c>
      <c r="C153" s="87" t="s">
        <v>144</v>
      </c>
      <c r="D153" s="87" t="s">
        <v>145</v>
      </c>
      <c r="E153" s="86" t="s">
        <v>234</v>
      </c>
      <c r="F153" s="161">
        <v>45846</v>
      </c>
      <c r="G153" s="161">
        <v>45846</v>
      </c>
      <c r="H153" s="88">
        <v>0.33333333333333331</v>
      </c>
      <c r="I153" s="95"/>
      <c r="J153" s="89"/>
      <c r="K153" s="89"/>
      <c r="L153" s="89"/>
      <c r="M153" s="89"/>
      <c r="N153" s="89"/>
      <c r="O153" s="86" t="s">
        <v>241</v>
      </c>
      <c r="P153" s="86"/>
      <c r="Q153" s="90">
        <v>30</v>
      </c>
      <c r="R153" s="91">
        <v>1</v>
      </c>
      <c r="S153" s="90"/>
      <c r="T153" s="90"/>
      <c r="U153" s="14"/>
      <c r="V153" s="14"/>
      <c r="W153" s="87"/>
      <c r="X153" s="86"/>
      <c r="Y153" s="59">
        <f ca="1">Table29[[#This Row],[5/9/2025]]+2-TODAY()</f>
        <v>30</v>
      </c>
      <c r="Z153" s="14">
        <f>IF(ISBLANK(Table29[[#This Row],[Roster Received By]]),1,0)</f>
        <v>1</v>
      </c>
      <c r="AA153" s="14">
        <f ca="1">IF(Table29[[#This Row],[5/5/2025]]&gt;TODAY(),1,)</f>
        <v>1</v>
      </c>
    </row>
    <row r="154" spans="1:27" x14ac:dyDescent="0.25">
      <c r="A154" s="86"/>
      <c r="B154" s="86" t="s">
        <v>35</v>
      </c>
      <c r="C154" s="87" t="s">
        <v>144</v>
      </c>
      <c r="D154" s="87" t="s">
        <v>145</v>
      </c>
      <c r="E154" s="86" t="s">
        <v>276</v>
      </c>
      <c r="F154" s="161">
        <v>45847</v>
      </c>
      <c r="G154" s="161">
        <v>45847</v>
      </c>
      <c r="H154" s="88">
        <v>0.33333333333333331</v>
      </c>
      <c r="I154" s="88"/>
      <c r="J154" s="88"/>
      <c r="K154" s="88"/>
      <c r="L154" s="88"/>
      <c r="M154" s="88"/>
      <c r="N154" s="88"/>
      <c r="O154" s="86" t="s">
        <v>241</v>
      </c>
      <c r="P154" s="86"/>
      <c r="Q154" s="14">
        <v>30</v>
      </c>
      <c r="R154" s="14">
        <v>1</v>
      </c>
      <c r="S154" s="14"/>
      <c r="T154" s="90"/>
      <c r="U154" s="14"/>
      <c r="V154" s="14"/>
      <c r="W154" s="14"/>
      <c r="X154" s="86"/>
      <c r="Y154" s="59">
        <f ca="1">Table29[[#This Row],[5/9/2025]]+2-TODAY()</f>
        <v>31</v>
      </c>
      <c r="Z154" s="14">
        <f>IF(ISBLANK(Table29[[#This Row],[Roster Received By]]),1,0)</f>
        <v>1</v>
      </c>
      <c r="AA154" s="14">
        <f ca="1">IF(Table29[[#This Row],[5/5/2025]]&gt;TODAY(),1,)</f>
        <v>1</v>
      </c>
    </row>
    <row r="155" spans="1:27" x14ac:dyDescent="0.25">
      <c r="A155" s="86"/>
      <c r="B155" s="86" t="s">
        <v>35</v>
      </c>
      <c r="C155" s="87" t="s">
        <v>144</v>
      </c>
      <c r="D155" s="87" t="s">
        <v>145</v>
      </c>
      <c r="E155" s="86" t="s">
        <v>275</v>
      </c>
      <c r="F155" s="89">
        <v>45848</v>
      </c>
      <c r="G155" s="89">
        <v>45848</v>
      </c>
      <c r="H155" s="88">
        <v>0.33333333333333331</v>
      </c>
      <c r="I155" s="95"/>
      <c r="J155" s="89"/>
      <c r="K155" s="89"/>
      <c r="L155" s="89"/>
      <c r="M155" s="89"/>
      <c r="N155" s="89"/>
      <c r="O155" s="86" t="s">
        <v>241</v>
      </c>
      <c r="P155" s="86"/>
      <c r="Q155" s="90">
        <v>30</v>
      </c>
      <c r="R155" s="91">
        <v>1</v>
      </c>
      <c r="S155" s="90"/>
      <c r="T155" s="90"/>
      <c r="U155" s="14"/>
      <c r="V155" s="14"/>
      <c r="W155" s="87"/>
      <c r="X155" s="86"/>
      <c r="Y155" s="59">
        <f ca="1">Table29[[#This Row],[5/9/2025]]+2-TODAY()</f>
        <v>32</v>
      </c>
      <c r="Z155" s="14">
        <f>IF(ISBLANK(Table29[[#This Row],[Roster Received By]]),1,0)</f>
        <v>1</v>
      </c>
      <c r="AA155" s="14">
        <f ca="1">IF(Table29[[#This Row],[5/5/2025]]&gt;TODAY(),1,)</f>
        <v>1</v>
      </c>
    </row>
    <row r="156" spans="1:27" x14ac:dyDescent="0.25">
      <c r="A156" s="52"/>
      <c r="B156" s="86" t="s">
        <v>35</v>
      </c>
      <c r="C156" s="87" t="s">
        <v>144</v>
      </c>
      <c r="D156" s="87" t="s">
        <v>145</v>
      </c>
      <c r="E156" s="86" t="s">
        <v>281</v>
      </c>
      <c r="F156" s="89">
        <v>45874</v>
      </c>
      <c r="G156" s="89">
        <v>45874</v>
      </c>
      <c r="H156" s="88">
        <v>0.33333333333333331</v>
      </c>
      <c r="I156" s="92"/>
      <c r="J156" s="89"/>
      <c r="K156" s="89"/>
      <c r="L156" s="89"/>
      <c r="M156" s="89"/>
      <c r="N156" s="89"/>
      <c r="O156" s="86" t="s">
        <v>241</v>
      </c>
      <c r="P156" s="86"/>
      <c r="Q156" s="90">
        <v>30</v>
      </c>
      <c r="R156" s="91">
        <v>1</v>
      </c>
      <c r="S156" s="90"/>
      <c r="T156" s="90"/>
      <c r="U156" s="14"/>
      <c r="V156" s="14"/>
      <c r="W156" s="14"/>
      <c r="X156" s="86"/>
      <c r="Y156" s="59">
        <f ca="1">Table29[[#This Row],[5/9/2025]]+2-TODAY()</f>
        <v>58</v>
      </c>
      <c r="Z156" s="14">
        <f>IF(ISBLANK(Table29[[#This Row],[Roster Received By]]),1,0)</f>
        <v>1</v>
      </c>
      <c r="AA156" s="14">
        <f ca="1">IF(Table29[[#This Row],[5/5/2025]]&gt;TODAY(),1,)</f>
        <v>1</v>
      </c>
    </row>
    <row r="157" spans="1:27" x14ac:dyDescent="0.25">
      <c r="A157" s="86"/>
      <c r="B157" s="86" t="s">
        <v>35</v>
      </c>
      <c r="C157" s="87" t="s">
        <v>144</v>
      </c>
      <c r="D157" s="87" t="s">
        <v>145</v>
      </c>
      <c r="E157" s="86" t="s">
        <v>290</v>
      </c>
      <c r="F157" s="89">
        <v>45876</v>
      </c>
      <c r="G157" s="89">
        <v>45876</v>
      </c>
      <c r="H157" s="88">
        <v>0.33333333333333331</v>
      </c>
      <c r="I157" s="95"/>
      <c r="J157" s="89"/>
      <c r="K157" s="89"/>
      <c r="L157" s="89"/>
      <c r="M157" s="89"/>
      <c r="N157" s="89"/>
      <c r="O157" s="86" t="s">
        <v>241</v>
      </c>
      <c r="P157" s="86"/>
      <c r="Q157" s="90">
        <v>30</v>
      </c>
      <c r="R157" s="91">
        <v>1</v>
      </c>
      <c r="S157" s="90"/>
      <c r="T157" s="90"/>
      <c r="U157" s="14"/>
      <c r="V157" s="14"/>
      <c r="W157" s="87"/>
      <c r="X157" s="86"/>
      <c r="Y157" s="59">
        <f ca="1">Table29[[#This Row],[5/9/2025]]+2-TODAY()</f>
        <v>60</v>
      </c>
      <c r="Z157" s="14">
        <f>IF(ISBLANK(Table29[[#This Row],[Roster Received By]]),1,0)</f>
        <v>1</v>
      </c>
      <c r="AA157" s="14">
        <f ca="1">IF(Table29[[#This Row],[5/5/2025]]&gt;TODAY(),1,)</f>
        <v>1</v>
      </c>
    </row>
    <row r="158" spans="1:27" x14ac:dyDescent="0.25">
      <c r="A158" s="86"/>
      <c r="B158" s="86" t="s">
        <v>35</v>
      </c>
      <c r="C158" s="87" t="s">
        <v>144</v>
      </c>
      <c r="D158" s="87" t="s">
        <v>145</v>
      </c>
      <c r="E158" s="86" t="s">
        <v>291</v>
      </c>
      <c r="F158" s="89">
        <v>45882</v>
      </c>
      <c r="G158" s="89">
        <v>45882</v>
      </c>
      <c r="H158" s="88">
        <v>0.33333333333333331</v>
      </c>
      <c r="I158" s="95"/>
      <c r="J158" s="89"/>
      <c r="K158" s="89"/>
      <c r="L158" s="89"/>
      <c r="M158" s="89"/>
      <c r="N158" s="89"/>
      <c r="O158" s="86" t="s">
        <v>241</v>
      </c>
      <c r="P158" s="86"/>
      <c r="Q158" s="90">
        <v>30</v>
      </c>
      <c r="R158" s="91">
        <v>1</v>
      </c>
      <c r="S158" s="90"/>
      <c r="T158" s="90"/>
      <c r="U158" s="14"/>
      <c r="V158" s="14"/>
      <c r="W158" s="87"/>
      <c r="X158" s="86"/>
      <c r="Y158" s="59">
        <f ca="1">Table29[[#This Row],[5/9/2025]]+2-TODAY()</f>
        <v>66</v>
      </c>
      <c r="Z158" s="14">
        <f>IF(ISBLANK(Table29[[#This Row],[Roster Received By]]),1,0)</f>
        <v>1</v>
      </c>
      <c r="AA158" s="14">
        <f ca="1">IF(Table29[[#This Row],[5/5/2025]]&gt;TODAY(),1,)</f>
        <v>1</v>
      </c>
    </row>
    <row r="159" spans="1:27" x14ac:dyDescent="0.25">
      <c r="A159" s="52"/>
      <c r="B159" s="86" t="s">
        <v>35</v>
      </c>
      <c r="C159" s="87" t="s">
        <v>144</v>
      </c>
      <c r="D159" s="87" t="s">
        <v>145</v>
      </c>
      <c r="E159" s="86" t="s">
        <v>404</v>
      </c>
      <c r="F159" s="167">
        <v>45884</v>
      </c>
      <c r="G159" s="167">
        <v>45884</v>
      </c>
      <c r="H159" s="88">
        <v>0.33333333333333331</v>
      </c>
      <c r="I159" s="88"/>
      <c r="J159" s="88"/>
      <c r="K159" s="88"/>
      <c r="L159" s="88"/>
      <c r="M159" s="88"/>
      <c r="N159" s="88"/>
      <c r="O159" s="86" t="s">
        <v>241</v>
      </c>
      <c r="P159" s="86"/>
      <c r="Q159" s="14">
        <v>30</v>
      </c>
      <c r="R159" s="14">
        <v>1</v>
      </c>
      <c r="S159" s="14"/>
      <c r="T159" s="90"/>
      <c r="U159" s="14"/>
      <c r="V159" s="14"/>
      <c r="W159" s="14"/>
      <c r="X159" s="86"/>
      <c r="Y159" s="59">
        <f ca="1">Table29[[#This Row],[5/9/2025]]+2-TODAY()</f>
        <v>68</v>
      </c>
      <c r="Z159" s="14">
        <f>IF(ISBLANK(Table29[[#This Row],[Roster Received By]]),1,0)</f>
        <v>1</v>
      </c>
      <c r="AA159" s="14">
        <f ca="1">IF(Table29[[#This Row],[5/5/2025]]&gt;TODAY(),1,)</f>
        <v>1</v>
      </c>
    </row>
    <row r="160" spans="1:27" x14ac:dyDescent="0.25">
      <c r="A160" s="52"/>
      <c r="B160" s="86" t="s">
        <v>35</v>
      </c>
      <c r="C160" s="87" t="s">
        <v>144</v>
      </c>
      <c r="D160" s="87" t="s">
        <v>145</v>
      </c>
      <c r="E160" s="86" t="s">
        <v>364</v>
      </c>
      <c r="F160" s="161">
        <v>45895</v>
      </c>
      <c r="G160" s="161">
        <v>45895</v>
      </c>
      <c r="H160" s="88">
        <v>0.33333333333333331</v>
      </c>
      <c r="I160" s="88"/>
      <c r="J160" s="88"/>
      <c r="K160" s="88"/>
      <c r="L160" s="88"/>
      <c r="M160" s="88"/>
      <c r="N160" s="88"/>
      <c r="O160" s="86" t="s">
        <v>241</v>
      </c>
      <c r="P160" s="86"/>
      <c r="Q160" s="14">
        <v>30</v>
      </c>
      <c r="R160" s="14">
        <v>1</v>
      </c>
      <c r="S160" s="14"/>
      <c r="T160" s="90"/>
      <c r="U160" s="14"/>
      <c r="V160" s="14"/>
      <c r="W160" s="90"/>
      <c r="X160" s="86"/>
      <c r="Y160" s="59">
        <f ca="1">Table29[[#This Row],[5/9/2025]]+2-TODAY()</f>
        <v>79</v>
      </c>
      <c r="Z160" s="14">
        <f>IF(ISBLANK(Table29[[#This Row],[Roster Received By]]),1,0)</f>
        <v>1</v>
      </c>
      <c r="AA160" s="14">
        <f ca="1">IF(Table29[[#This Row],[5/5/2025]]&gt;TODAY(),1,)</f>
        <v>1</v>
      </c>
    </row>
    <row r="161" spans="1:27" x14ac:dyDescent="0.25">
      <c r="A161" s="86"/>
      <c r="B161" s="139" t="s">
        <v>36</v>
      </c>
      <c r="C161" s="141" t="s">
        <v>345</v>
      </c>
      <c r="D161" s="141" t="s">
        <v>346</v>
      </c>
      <c r="E161" s="168" t="s">
        <v>246</v>
      </c>
      <c r="F161" s="142">
        <v>45726</v>
      </c>
      <c r="G161" s="142">
        <v>45730</v>
      </c>
      <c r="H161" s="143">
        <v>0.33333333333333331</v>
      </c>
      <c r="I161" s="92"/>
      <c r="J161" s="89"/>
      <c r="K161" s="89"/>
      <c r="L161" s="89"/>
      <c r="M161" s="89"/>
      <c r="N161" s="89"/>
      <c r="O161" s="86" t="s">
        <v>241</v>
      </c>
      <c r="P161" s="86"/>
      <c r="Q161" s="14">
        <v>25</v>
      </c>
      <c r="R161" s="14">
        <v>2</v>
      </c>
      <c r="S161" s="14"/>
      <c r="T161" s="90"/>
      <c r="U161" s="14"/>
      <c r="V161" s="14"/>
      <c r="W161" s="14"/>
      <c r="X161" s="86"/>
      <c r="Y161" s="59">
        <f ca="1">Table29[[#This Row],[5/9/2025]]+2-TODAY()</f>
        <v>-86</v>
      </c>
      <c r="Z161" s="14">
        <f>IF(ISBLANK(Table29[[#This Row],[Roster Received By]]),1,0)</f>
        <v>1</v>
      </c>
      <c r="AA161" s="14">
        <f ca="1">IF(Table29[[#This Row],[5/5/2025]]&gt;TODAY(),1,)</f>
        <v>0</v>
      </c>
    </row>
    <row r="162" spans="1:27" x14ac:dyDescent="0.25">
      <c r="A162" s="52"/>
      <c r="B162" s="139" t="s">
        <v>36</v>
      </c>
      <c r="C162" s="141" t="s">
        <v>345</v>
      </c>
      <c r="D162" s="141" t="s">
        <v>346</v>
      </c>
      <c r="E162" s="139" t="s">
        <v>239</v>
      </c>
      <c r="F162" s="142">
        <v>45810</v>
      </c>
      <c r="G162" s="142">
        <v>45814</v>
      </c>
      <c r="H162" s="143">
        <v>0.33333333333333331</v>
      </c>
      <c r="I162" s="88"/>
      <c r="J162" s="88"/>
      <c r="K162" s="88"/>
      <c r="L162" s="88"/>
      <c r="M162" s="88"/>
      <c r="N162" s="88"/>
      <c r="O162" s="86" t="s">
        <v>241</v>
      </c>
      <c r="P162" s="86"/>
      <c r="Q162" s="14">
        <v>25</v>
      </c>
      <c r="R162" s="14">
        <v>2</v>
      </c>
      <c r="S162" s="14"/>
      <c r="T162" s="90"/>
      <c r="U162" s="14"/>
      <c r="V162" s="14"/>
      <c r="W162" s="14"/>
      <c r="X162" s="86"/>
      <c r="Y162" s="59">
        <f ca="1">Table29[[#This Row],[5/9/2025]]+2-TODAY()</f>
        <v>-2</v>
      </c>
      <c r="Z162" s="14">
        <f>IF(ISBLANK(Table29[[#This Row],[Roster Received By]]),1,0)</f>
        <v>1</v>
      </c>
      <c r="AA162" s="14">
        <f ca="1">IF(Table29[[#This Row],[5/5/2025]]&gt;TODAY(),1,)</f>
        <v>0</v>
      </c>
    </row>
    <row r="163" spans="1:27" x14ac:dyDescent="0.25">
      <c r="A163" s="156" t="s">
        <v>62</v>
      </c>
      <c r="B163" s="156">
        <f>SUBTOTAL(103,Table29[Course Title])</f>
        <v>159</v>
      </c>
      <c r="C163" s="156"/>
      <c r="D163" s="156"/>
      <c r="E163" s="156"/>
      <c r="F163" s="157"/>
      <c r="G163" s="157"/>
      <c r="H163" s="156"/>
      <c r="I163" s="156"/>
      <c r="J163" s="156"/>
      <c r="K163" s="156"/>
      <c r="L163" s="156"/>
      <c r="M163" s="156"/>
      <c r="N163" s="156"/>
      <c r="O163" s="156"/>
      <c r="P163" s="156"/>
      <c r="Q163" s="158">
        <f>SUBTOTAL(109,Q4:Q162)</f>
        <v>5315</v>
      </c>
      <c r="R163" s="158">
        <f>SUBTOTAL(109,Table29[Course Length (Days)])</f>
        <v>398</v>
      </c>
      <c r="S163" s="158">
        <f>SUBTOTAL(109,S4:S162)</f>
        <v>0</v>
      </c>
      <c r="T163" s="158">
        <f>SUBTOTAL(109,T4:T162)</f>
        <v>0</v>
      </c>
      <c r="U163" s="158">
        <f>SUBTOTAL(109,U4:U162)</f>
        <v>0</v>
      </c>
      <c r="V163" s="158">
        <f>SUBTOTAL(109,V4:V162)</f>
        <v>0</v>
      </c>
      <c r="W163" s="158">
        <f>SUBTOTAL(109,W4:W162)</f>
        <v>0</v>
      </c>
      <c r="X163" s="156">
        <f>SUBTOTAL(103,Table29[Roster Received By])</f>
        <v>0</v>
      </c>
      <c r="Y163" s="159"/>
      <c r="Z163" s="156"/>
      <c r="AA163" s="156"/>
    </row>
  </sheetData>
  <protectedRanges>
    <protectedRange algorithmName="SHA-512" hashValue="n6K25g9uzAcpntxjqTQaPVdKX1eij75CLB1gBuUNBybVL5B3VaxVW/Tcen54TXijIel0fCN9KO3xZiLZCJMSZw==" saltValue="89UdTK4UUElaUoKBccfOYw==" spinCount="100000" sqref="C3:D3" name="CIN CDP"/>
    <protectedRange algorithmName="SHA-512" hashValue="n6K25g9uzAcpntxjqTQaPVdKX1eij75CLB1gBuUNBybVL5B3VaxVW/Tcen54TXijIel0fCN9KO3xZiLZCJMSZw==" saltValue="89UdTK4UUElaUoKBccfOYw==" spinCount="100000" sqref="C4:D162" name="CIN CDP_1"/>
  </protectedRanges>
  <conditionalFormatting sqref="A11:A23">
    <cfRule type="expression" dxfId="1091" priority="1">
      <formula>$T11="Benzick, Sue"</formula>
    </cfRule>
    <cfRule type="expression" dxfId="1090" priority="2">
      <formula>$T11="Jenne, Richard"</formula>
    </cfRule>
    <cfRule type="expression" dxfId="1089" priority="3">
      <formula>$T11="McQueen, Jennifer"</formula>
    </cfRule>
  </conditionalFormatting>
  <conditionalFormatting sqref="A51">
    <cfRule type="expression" dxfId="1088" priority="4">
      <formula>$T51="Benzick, Sue"</formula>
    </cfRule>
    <cfRule type="expression" dxfId="1087" priority="5">
      <formula>$T51="Jenne, Richard"</formula>
    </cfRule>
    <cfRule type="expression" dxfId="1086" priority="6">
      <formula>$T51="McQueen, Jennifer"</formula>
    </cfRule>
  </conditionalFormatting>
  <conditionalFormatting sqref="E44 F80:G80 F82:G84 F101:G101 F103">
    <cfRule type="expression" dxfId="1085" priority="229">
      <formula>$R44="Benzick, Sue"</formula>
    </cfRule>
    <cfRule type="expression" dxfId="1084" priority="230">
      <formula>$R44="Jenne, Richard"</formula>
    </cfRule>
    <cfRule type="expression" dxfId="1083" priority="231">
      <formula>$R44="McQueen, Jennifer"</formula>
    </cfRule>
  </conditionalFormatting>
  <conditionalFormatting sqref="E64">
    <cfRule type="expression" dxfId="1082" priority="221">
      <formula>#REF!="Jenne, Richard"</formula>
    </cfRule>
    <cfRule type="expression" dxfId="1081" priority="220">
      <formula>#REF!="Benzick, Sue"</formula>
    </cfRule>
    <cfRule type="expression" dxfId="1080" priority="222">
      <formula>#REF!="McQueen, Jennifer"</formula>
    </cfRule>
  </conditionalFormatting>
  <conditionalFormatting sqref="E58:G61 F62:G62">
    <cfRule type="expression" dxfId="1079" priority="225">
      <formula>#REF!="McQueen, Jennifer"</formula>
    </cfRule>
    <cfRule type="expression" dxfId="1078" priority="224">
      <formula>#REF!="Jenne, Richard"</formula>
    </cfRule>
    <cfRule type="expression" dxfId="1077" priority="223">
      <formula>#REF!="Benzick, Sue"</formula>
    </cfRule>
  </conditionalFormatting>
  <conditionalFormatting sqref="E65:G72">
    <cfRule type="expression" dxfId="1076" priority="199">
      <formula>#REF!="Benzick, Sue"</formula>
    </cfRule>
    <cfRule type="expression" dxfId="1075" priority="200">
      <formula>#REF!="Jenne, Richard"</formula>
    </cfRule>
    <cfRule type="expression" dxfId="1074" priority="201">
      <formula>#REF!="McQueen, Jennifer"</formula>
    </cfRule>
  </conditionalFormatting>
  <conditionalFormatting sqref="E75:G75 F76:G76 I76:I84 E77:G77 I88:I97 I99:I100 H105 H109:H112">
    <cfRule type="expression" dxfId="1073" priority="205">
      <formula>#REF!="Benzick, Sue"</formula>
    </cfRule>
    <cfRule type="expression" dxfId="1072" priority="206">
      <formula>#REF!="Jenne, Richard"</formula>
    </cfRule>
    <cfRule type="expression" dxfId="1071" priority="207">
      <formula>#REF!="McQueen, Jennifer"</formula>
    </cfRule>
  </conditionalFormatting>
  <conditionalFormatting sqref="E113:G113">
    <cfRule type="expression" dxfId="1070" priority="193">
      <formula>#REF!="Benzick, Sue"</formula>
    </cfRule>
    <cfRule type="expression" dxfId="1069" priority="194">
      <formula>#REF!="Jenne, Richard"</formula>
    </cfRule>
    <cfRule type="expression" dxfId="1068" priority="195">
      <formula>#REF!="McQueen, Jennifer"</formula>
    </cfRule>
  </conditionalFormatting>
  <conditionalFormatting sqref="F15:F18">
    <cfRule type="expression" dxfId="1067" priority="180">
      <formula>$T15="McQueen, Jennifer"</formula>
    </cfRule>
    <cfRule type="expression" dxfId="1066" priority="178">
      <formula>$T15="Benzick, Sue"</formula>
    </cfRule>
    <cfRule type="expression" dxfId="1065" priority="179">
      <formula>$T15="Jenne, Richard"</formula>
    </cfRule>
  </conditionalFormatting>
  <conditionalFormatting sqref="F23">
    <cfRule type="expression" dxfId="1064" priority="174">
      <formula>$T23="McQueen, Jennifer"</formula>
    </cfRule>
    <cfRule type="expression" dxfId="1063" priority="173">
      <formula>$T23="Jenne, Richard"</formula>
    </cfRule>
    <cfRule type="expression" dxfId="1062" priority="172">
      <formula>$T23="Benzick, Sue"</formula>
    </cfRule>
  </conditionalFormatting>
  <conditionalFormatting sqref="F44:F45">
    <cfRule type="expression" dxfId="1061" priority="167">
      <formula>$T44="Jenne, Richard"</formula>
    </cfRule>
    <cfRule type="expression" dxfId="1060" priority="166">
      <formula>$T44="Benzick, Sue"</formula>
    </cfRule>
    <cfRule type="expression" dxfId="1059" priority="168">
      <formula>$T44="McQueen, Jennifer"</formula>
    </cfRule>
  </conditionalFormatting>
  <conditionalFormatting sqref="F64">
    <cfRule type="expression" dxfId="1058" priority="23">
      <formula>$S64="Jenne, Richard"</formula>
    </cfRule>
    <cfRule type="expression" dxfId="1057" priority="22">
      <formula>$S64="Benzick, Sue"</formula>
    </cfRule>
    <cfRule type="expression" dxfId="1056" priority="24">
      <formula>$S64="McQueen, Jennifer"</formula>
    </cfRule>
  </conditionalFormatting>
  <conditionalFormatting sqref="F104 F110:F111">
    <cfRule type="expression" dxfId="1055" priority="192">
      <formula>$S105="McQueen, Jennifer"</formula>
    </cfRule>
    <cfRule type="expression" dxfId="1054" priority="191">
      <formula>$S105="Jenne, Richard"</formula>
    </cfRule>
    <cfRule type="expression" dxfId="1053" priority="190">
      <formula>$S105="Benzick, Sue"</formula>
    </cfRule>
  </conditionalFormatting>
  <conditionalFormatting sqref="F105:F106">
    <cfRule type="expression" dxfId="1052" priority="187">
      <formula>$S107="Benzick, Sue"</formula>
    </cfRule>
    <cfRule type="expression" dxfId="1051" priority="188">
      <formula>$S107="Jenne, Richard"</formula>
    </cfRule>
    <cfRule type="expression" dxfId="1050" priority="189">
      <formula>$S107="McQueen, Jennifer"</formula>
    </cfRule>
  </conditionalFormatting>
  <conditionalFormatting sqref="F10:G11 F13:G14 J18:N24 E25 E28 A29:A41 E30 E33:E34 F33:G35 J35:N35 E36:F36 F37:G37 F39:G40 E39:E42 F43:G43 A43:A45 A49 A59:A60 A69:A73 A75:A86 A88:A90 J92:N92 A92:A102 J94:N95 E97:E100 J99:N100 B103 E103 A104:B112 J109:N112">
    <cfRule type="expression" dxfId="1049" priority="232">
      <formula>$T10="Benzick, Sue"</formula>
    </cfRule>
    <cfRule type="expression" dxfId="1048" priority="233">
      <formula>$T10="Jenne, Richard"</formula>
    </cfRule>
    <cfRule type="expression" dxfId="1047" priority="234">
      <formula>$T10="McQueen, Jennifer"</formula>
    </cfRule>
  </conditionalFormatting>
  <conditionalFormatting sqref="F19:G22 E48:G56 E57">
    <cfRule type="expression" dxfId="1046" priority="210">
      <formula>#REF!="McQueen, Jennifer"</formula>
    </cfRule>
    <cfRule type="expression" dxfId="1045" priority="208">
      <formula>#REF!="Benzick, Sue"</formula>
    </cfRule>
    <cfRule type="expression" dxfId="1044" priority="209">
      <formula>#REF!="Jenne, Richard"</formula>
    </cfRule>
  </conditionalFormatting>
  <conditionalFormatting sqref="F31:G32">
    <cfRule type="expression" dxfId="1043" priority="171">
      <formula>#REF!="McQueen, Jennifer"</formula>
    </cfRule>
    <cfRule type="expression" dxfId="1042" priority="169">
      <formula>#REF!="Benzick, Sue"</formula>
    </cfRule>
    <cfRule type="expression" dxfId="1041" priority="170">
      <formula>#REF!="Jenne, Richard"</formula>
    </cfRule>
  </conditionalFormatting>
  <conditionalFormatting sqref="F46:G47">
    <cfRule type="expression" dxfId="1040" priority="154">
      <formula>$R46="Benzick, Sue"</formula>
    </cfRule>
    <cfRule type="expression" dxfId="1039" priority="156">
      <formula>$R46="McQueen, Jennifer"</formula>
    </cfRule>
    <cfRule type="expression" dxfId="1038" priority="155">
      <formula>$R46="Jenne, Richard"</formula>
    </cfRule>
  </conditionalFormatting>
  <conditionalFormatting sqref="F57:G57">
    <cfRule type="expression" dxfId="1037" priority="16">
      <formula>#REF!="Benzick, Sue"</formula>
    </cfRule>
    <cfRule type="expression" dxfId="1036" priority="17">
      <formula>#REF!="Jenne, Richard"</formula>
    </cfRule>
    <cfRule type="expression" dxfId="1035" priority="18">
      <formula>#REF!="McQueen, Jennifer"</formula>
    </cfRule>
  </conditionalFormatting>
  <conditionalFormatting sqref="G7:G8 F9:G9">
    <cfRule type="expression" dxfId="1034" priority="181">
      <formula>#REF!="Benzick, Sue"</formula>
    </cfRule>
    <cfRule type="expression" dxfId="1033" priority="182">
      <formula>#REF!="Jenne, Richard"</formula>
    </cfRule>
    <cfRule type="expression" dxfId="1032" priority="183">
      <formula>#REF!="McQueen, Jennifer"</formula>
    </cfRule>
  </conditionalFormatting>
  <conditionalFormatting sqref="G12">
    <cfRule type="expression" dxfId="1031" priority="175">
      <formula>#REF!="Benzick, Sue"</formula>
    </cfRule>
    <cfRule type="expression" dxfId="1030" priority="177">
      <formula>#REF!="McQueen, Jennifer"</formula>
    </cfRule>
    <cfRule type="expression" dxfId="1029" priority="176">
      <formula>#REF!="Jenne, Richard"</formula>
    </cfRule>
  </conditionalFormatting>
  <conditionalFormatting sqref="G38">
    <cfRule type="expression" dxfId="1028" priority="163">
      <formula>#REF!="Benzick, Sue"</formula>
    </cfRule>
    <cfRule type="expression" dxfId="1027" priority="165">
      <formula>#REF!="McQueen, Jennifer"</formula>
    </cfRule>
    <cfRule type="expression" dxfId="1026" priority="164">
      <formula>#REF!="Jenne, Richard"</formula>
    </cfRule>
  </conditionalFormatting>
  <conditionalFormatting sqref="G44:G45">
    <cfRule type="expression" dxfId="1025" priority="158">
      <formula>$T44="Jenne, Richard"</formula>
    </cfRule>
    <cfRule type="expression" dxfId="1024" priority="159">
      <formula>$T44="McQueen, Jennifer"</formula>
    </cfRule>
    <cfRule type="expression" dxfId="1023" priority="157">
      <formula>$T44="Benzick, Sue"</formula>
    </cfRule>
  </conditionalFormatting>
  <conditionalFormatting sqref="G64">
    <cfRule type="expression" dxfId="1022" priority="19">
      <formula>$S64="Benzick, Sue"</formula>
    </cfRule>
    <cfRule type="expression" dxfId="1021" priority="20">
      <formula>$S64="Jenne, Richard"</formula>
    </cfRule>
    <cfRule type="expression" dxfId="1020" priority="21">
      <formula>$S64="McQueen, Jennifer"</formula>
    </cfRule>
  </conditionalFormatting>
  <conditionalFormatting sqref="G98">
    <cfRule type="expression" dxfId="1019" priority="27">
      <formula>$S98="McQueen, Jennifer"</formula>
    </cfRule>
    <cfRule type="expression" dxfId="1018" priority="25">
      <formula>$S98="Benzick, Sue"</formula>
    </cfRule>
    <cfRule type="expression" dxfId="1017" priority="26">
      <formula>$S98="Jenne, Richard"</formula>
    </cfRule>
  </conditionalFormatting>
  <conditionalFormatting sqref="H4:H28">
    <cfRule type="expression" dxfId="1016" priority="11">
      <formula>$S4="Jenne, Richard"</formula>
    </cfRule>
    <cfRule type="expression" dxfId="1015" priority="10">
      <formula>$S4="Benzick, Sue"</formula>
    </cfRule>
    <cfRule type="expression" dxfId="1014" priority="12">
      <formula>$S4="McQueen, Jennifer"</formula>
    </cfRule>
  </conditionalFormatting>
  <conditionalFormatting sqref="H30:H103">
    <cfRule type="expression" dxfId="1013" priority="86">
      <formula>$S30="Jenne, Richard"</formula>
    </cfRule>
    <cfRule type="expression" dxfId="1012" priority="87">
      <formula>$S30="McQueen, Jennifer"</formula>
    </cfRule>
    <cfRule type="expression" dxfId="1011" priority="85">
      <formula>$S30="Benzick, Sue"</formula>
    </cfRule>
  </conditionalFormatting>
  <conditionalFormatting sqref="I4:I14 I18:I25 G28:G30 I38 I42:I50 I51:N51 I61:N61 I62:I63 E63:G63 I64:N65 I68:N69 I71:N72 I75:N75 I85:N86 I98:N98 I101:N103 J104:N104 J106:N108 H113:I113">
    <cfRule type="expression" dxfId="1010" priority="226">
      <formula>#REF!="Benzick, Sue"</formula>
    </cfRule>
    <cfRule type="expression" dxfId="1009" priority="227">
      <formula>#REF!="Jenne, Richard"</formula>
    </cfRule>
    <cfRule type="expression" dxfId="1008" priority="228">
      <formula>#REF!="McQueen, Jennifer"</formula>
    </cfRule>
  </conditionalFormatting>
  <conditionalFormatting sqref="I17">
    <cfRule type="expression" dxfId="1007" priority="126">
      <formula>$S17="McQueen, Jennifer"</formula>
    </cfRule>
    <cfRule type="expression" dxfId="1006" priority="125">
      <formula>$S17="Jenne, Richard"</formula>
    </cfRule>
    <cfRule type="expression" dxfId="1005" priority="124">
      <formula>$S17="Benzick, Sue"</formula>
    </cfRule>
  </conditionalFormatting>
  <conditionalFormatting sqref="I26:I27">
    <cfRule type="expression" dxfId="1004" priority="51">
      <formula>$S26="McQueen, Jennifer"</formula>
    </cfRule>
    <cfRule type="expression" dxfId="1003" priority="50">
      <formula>$S26="Jenne, Richard"</formula>
    </cfRule>
    <cfRule type="expression" dxfId="1002" priority="49">
      <formula>$S26="Benzick, Sue"</formula>
    </cfRule>
  </conditionalFormatting>
  <conditionalFormatting sqref="I31">
    <cfRule type="expression" dxfId="1001" priority="32">
      <formula>$S31="Jenne, Richard"</formula>
    </cfRule>
    <cfRule type="expression" dxfId="1000" priority="31">
      <formula>$S31="Benzick, Sue"</formula>
    </cfRule>
    <cfRule type="expression" dxfId="999" priority="33">
      <formula>$S31="McQueen, Jennifer"</formula>
    </cfRule>
  </conditionalFormatting>
  <conditionalFormatting sqref="I33">
    <cfRule type="expression" dxfId="998" priority="40">
      <formula>$S33="Benzick, Sue"</formula>
    </cfRule>
    <cfRule type="expression" dxfId="997" priority="41">
      <formula>$S33="Jenne, Richard"</formula>
    </cfRule>
    <cfRule type="expression" dxfId="996" priority="42">
      <formula>$S33="McQueen, Jennifer"</formula>
    </cfRule>
  </conditionalFormatting>
  <conditionalFormatting sqref="I39">
    <cfRule type="expression" dxfId="995" priority="97">
      <formula>$S39="Benzick, Sue"</formula>
    </cfRule>
    <cfRule type="expression" dxfId="994" priority="98">
      <formula>$S39="Jenne, Richard"</formula>
    </cfRule>
    <cfRule type="expression" dxfId="993" priority="99">
      <formula>$S39="McQueen, Jennifer"</formula>
    </cfRule>
  </conditionalFormatting>
  <conditionalFormatting sqref="I41">
    <cfRule type="expression" dxfId="992" priority="30">
      <formula>$S41="McQueen, Jennifer"</formula>
    </cfRule>
    <cfRule type="expression" dxfId="991" priority="28">
      <formula>$S41="Benzick, Sue"</formula>
    </cfRule>
    <cfRule type="expression" dxfId="990" priority="29">
      <formula>$S41="Jenne, Richard"</formula>
    </cfRule>
  </conditionalFormatting>
  <conditionalFormatting sqref="I52:I53 I58:I60">
    <cfRule type="expression" dxfId="989" priority="213">
      <formula>#REF!="McQueen, Jennifer"</formula>
    </cfRule>
    <cfRule type="expression" dxfId="988" priority="211">
      <formula>#REF!="Benzick, Sue"</formula>
    </cfRule>
    <cfRule type="expression" dxfId="987" priority="212">
      <formula>#REF!="Jenne, Richard"</formula>
    </cfRule>
  </conditionalFormatting>
  <conditionalFormatting sqref="I66:I67 I70 I73:I74">
    <cfRule type="expression" dxfId="986" priority="196">
      <formula>#REF!="Benzick, Sue"</formula>
    </cfRule>
    <cfRule type="expression" dxfId="985" priority="198">
      <formula>#REF!="McQueen, Jennifer"</formula>
    </cfRule>
    <cfRule type="expression" dxfId="984" priority="197">
      <formula>#REF!="Jenne, Richard"</formula>
    </cfRule>
  </conditionalFormatting>
  <conditionalFormatting sqref="I28:M29 I30 K34:N34 I34:I36">
    <cfRule type="expression" dxfId="983" priority="57">
      <formula>#REF!="McQueen, Jennifer"</formula>
    </cfRule>
    <cfRule type="expression" dxfId="982" priority="56">
      <formula>#REF!="Jenne, Richard"</formula>
    </cfRule>
    <cfRule type="expression" dxfId="981" priority="55">
      <formula>#REF!="Benzick, Sue"</formula>
    </cfRule>
  </conditionalFormatting>
  <conditionalFormatting sqref="I15:N15 I16 I37:M37 J43:N43 K45:N47">
    <cfRule type="expression" dxfId="980" priority="147">
      <formula>#REF!="McQueen, Jennifer"</formula>
    </cfRule>
    <cfRule type="expression" dxfId="979" priority="146">
      <formula>#REF!="Jenne, Richard"</formula>
    </cfRule>
    <cfRule type="expression" dxfId="978" priority="145">
      <formula>#REF!="Benzick, Sue"</formula>
    </cfRule>
  </conditionalFormatting>
  <conditionalFormatting sqref="I54:N57">
    <cfRule type="expression" dxfId="977" priority="184">
      <formula>#REF!="Benzick, Sue"</formula>
    </cfRule>
    <cfRule type="expression" dxfId="976" priority="185">
      <formula>#REF!="Jenne, Richard"</formula>
    </cfRule>
    <cfRule type="expression" dxfId="975" priority="186">
      <formula>#REF!="McQueen, Jennifer"</formula>
    </cfRule>
  </conditionalFormatting>
  <conditionalFormatting sqref="J9">
    <cfRule type="expression" dxfId="974" priority="7">
      <formula>$S9="Benzick, Sue"</formula>
    </cfRule>
    <cfRule type="expression" dxfId="973" priority="9">
      <formula>$S9="McQueen, Jennifer"</formula>
    </cfRule>
    <cfRule type="expression" dxfId="972" priority="8">
      <formula>$S9="Jenne, Richard"</formula>
    </cfRule>
  </conditionalFormatting>
  <conditionalFormatting sqref="J34">
    <cfRule type="expression" dxfId="971" priority="37">
      <formula>$S34="Benzick, Sue"</formula>
    </cfRule>
    <cfRule type="expression" dxfId="970" priority="38">
      <formula>$S34="Jenne, Richard"</formula>
    </cfRule>
    <cfRule type="expression" dxfId="969" priority="39">
      <formula>$S34="McQueen, Jennifer"</formula>
    </cfRule>
  </conditionalFormatting>
  <conditionalFormatting sqref="J41">
    <cfRule type="expression" dxfId="968" priority="143">
      <formula>#REF!="Jenne, Richard"</formula>
    </cfRule>
    <cfRule type="expression" dxfId="967" priority="142">
      <formula>#REF!="Benzick, Sue"</formula>
    </cfRule>
    <cfRule type="expression" dxfId="966" priority="144">
      <formula>#REF!="McQueen, Jennifer"</formula>
    </cfRule>
  </conditionalFormatting>
  <conditionalFormatting sqref="J45:J47">
    <cfRule type="expression" dxfId="965" priority="34">
      <formula>$S45="Benzick, Sue"</formula>
    </cfRule>
    <cfRule type="expression" dxfId="964" priority="35">
      <formula>$S45="Jenne, Richard"</formula>
    </cfRule>
    <cfRule type="expression" dxfId="963" priority="36">
      <formula>$S45="McQueen, Jennifer"</formula>
    </cfRule>
  </conditionalFormatting>
  <conditionalFormatting sqref="J4:N6 J8:N8 K9:N9">
    <cfRule type="expression" dxfId="962" priority="150">
      <formula>$S4="McQueen, Jennifer"</formula>
    </cfRule>
    <cfRule type="expression" dxfId="961" priority="149">
      <formula>$S4="Jenne, Richard"</formula>
    </cfRule>
    <cfRule type="expression" dxfId="960" priority="148">
      <formula>$S4="Benzick, Sue"</formula>
    </cfRule>
  </conditionalFormatting>
  <conditionalFormatting sqref="J16:N16">
    <cfRule type="expression" dxfId="959" priority="127">
      <formula>$S16="Benzick, Sue"</formula>
    </cfRule>
    <cfRule type="expression" dxfId="958" priority="128">
      <formula>$S16="Jenne, Richard"</formula>
    </cfRule>
    <cfRule type="expression" dxfId="957" priority="129">
      <formula>$S16="McQueen, Jennifer"</formula>
    </cfRule>
  </conditionalFormatting>
  <conditionalFormatting sqref="J17:N17">
    <cfRule type="expression" dxfId="956" priority="152">
      <formula>$X17="Jenne, Richard"</formula>
    </cfRule>
    <cfRule type="expression" dxfId="955" priority="151">
      <formula>$X17="Benzick, Sue"</formula>
    </cfRule>
    <cfRule type="expression" dxfId="954" priority="153">
      <formula>$X17="McQueen, Jennifer"</formula>
    </cfRule>
  </conditionalFormatting>
  <conditionalFormatting sqref="J25:N25">
    <cfRule type="expression" dxfId="953" priority="58">
      <formula>$S25="Benzick, Sue"</formula>
    </cfRule>
    <cfRule type="expression" dxfId="952" priority="59">
      <formula>$S25="Jenne, Richard"</formula>
    </cfRule>
    <cfRule type="expression" dxfId="951" priority="60">
      <formula>$S25="McQueen, Jennifer"</formula>
    </cfRule>
  </conditionalFormatting>
  <conditionalFormatting sqref="J26:N27">
    <cfRule type="expression" dxfId="950" priority="53">
      <formula>$X26="Jenne, Richard"</formula>
    </cfRule>
    <cfRule type="expression" dxfId="949" priority="52">
      <formula>$X26="Benzick, Sue"</formula>
    </cfRule>
    <cfRule type="expression" dxfId="948" priority="54">
      <formula>$X26="McQueen, Jennifer"</formula>
    </cfRule>
  </conditionalFormatting>
  <conditionalFormatting sqref="K41">
    <cfRule type="expression" dxfId="947" priority="141">
      <formula>#REF!="McQueen, Jennifer"</formula>
    </cfRule>
    <cfRule type="expression" dxfId="946" priority="140">
      <formula>#REF!="Jenne, Richard"</formula>
    </cfRule>
    <cfRule type="expression" dxfId="945" priority="139">
      <formula>#REF!="Benzick, Sue"</formula>
    </cfRule>
  </conditionalFormatting>
  <conditionalFormatting sqref="L30:L31">
    <cfRule type="expression" dxfId="944" priority="46">
      <formula>$S30="Benzick, Sue"</formula>
    </cfRule>
    <cfRule type="expression" dxfId="943" priority="47">
      <formula>$S30="Jenne, Richard"</formula>
    </cfRule>
    <cfRule type="expression" dxfId="942" priority="48">
      <formula>$S30="McQueen, Jennifer"</formula>
    </cfRule>
  </conditionalFormatting>
  <conditionalFormatting sqref="L41">
    <cfRule type="expression" dxfId="941" priority="138">
      <formula>#REF!="McQueen, Jennifer"</formula>
    </cfRule>
    <cfRule type="expression" dxfId="940" priority="137">
      <formula>#REF!="Jenne, Richard"</formula>
    </cfRule>
    <cfRule type="expression" dxfId="939" priority="136">
      <formula>#REF!="Benzick, Sue"</formula>
    </cfRule>
  </conditionalFormatting>
  <conditionalFormatting sqref="M32">
    <cfRule type="expression" dxfId="938" priority="44">
      <formula>$S32="Jenne, Richard"</formula>
    </cfRule>
    <cfRule type="expression" dxfId="937" priority="45">
      <formula>$S32="McQueen, Jennifer"</formula>
    </cfRule>
    <cfRule type="expression" dxfId="936" priority="43">
      <formula>$S32="Benzick, Sue"</formula>
    </cfRule>
  </conditionalFormatting>
  <conditionalFormatting sqref="M41">
    <cfRule type="expression" dxfId="935" priority="135">
      <formula>#REF!="McQueen, Jennifer"</formula>
    </cfRule>
    <cfRule type="expression" dxfId="934" priority="133">
      <formula>#REF!="Benzick, Sue"</formula>
    </cfRule>
    <cfRule type="expression" dxfId="933" priority="134">
      <formula>#REF!="Jenne, Richard"</formula>
    </cfRule>
  </conditionalFormatting>
  <conditionalFormatting sqref="N37">
    <cfRule type="expression" dxfId="932" priority="101">
      <formula>$S37="Jenne, Richard"</formula>
    </cfRule>
    <cfRule type="expression" dxfId="931" priority="102">
      <formula>$S37="McQueen, Jennifer"</formula>
    </cfRule>
    <cfRule type="expression" dxfId="930" priority="100">
      <formula>$S37="Benzick, Sue"</formula>
    </cfRule>
  </conditionalFormatting>
  <conditionalFormatting sqref="N40">
    <cfRule type="expression" dxfId="929" priority="94">
      <formula>$S40="Benzick, Sue"</formula>
    </cfRule>
    <cfRule type="expression" dxfId="928" priority="95">
      <formula>$S40="Jenne, Richard"</formula>
    </cfRule>
    <cfRule type="expression" dxfId="927" priority="96">
      <formula>$S40="McQueen, Jennifer"</formula>
    </cfRule>
  </conditionalFormatting>
  <conditionalFormatting sqref="N41">
    <cfRule type="expression" dxfId="926" priority="131">
      <formula>#REF!="Jenne, Richard"</formula>
    </cfRule>
    <cfRule type="expression" dxfId="925" priority="132">
      <formula>#REF!="McQueen, Jennifer"</formula>
    </cfRule>
    <cfRule type="expression" dxfId="924" priority="130">
      <formula>#REF!="Benzick, Sue"</formula>
    </cfRule>
  </conditionalFormatting>
  <conditionalFormatting sqref="T4:T47 K7:N7 A10 J10:N14 S10:S15 S17:S28 A28 N28 H29:I29 S31:S43 E35 L36 L38 L42 S45:S47 E46:E47 A48 S48:T67 J49:N49 J52:N52 J58:N60 J62:N62 T68 S69:T86 A74 J79:N79 E85:G86 E88:G88 S88:T88 J88:N89 E89 S89:S90 T89:T96 F90:G90 K90 M90:N90 F92:G96 S92:S96 J96:N97 F97:F98 S97:T112 E102:F102 E104:E112 I104:I112 T113">
    <cfRule type="expression" dxfId="923" priority="235">
      <formula>$S4="Benzick, Sue"</formula>
    </cfRule>
    <cfRule type="expression" dxfId="922" priority="236">
      <formula>$S4="Jenne, Richard"</formula>
    </cfRule>
    <cfRule type="expression" dxfId="921" priority="237">
      <formula>$S4="McQueen, Jennifer"</formula>
    </cfRule>
  </conditionalFormatting>
  <conditionalFormatting sqref="W4:W15 Y4:Y86 W17:W28 W31:W43 W45:W67 W69:W86 W88:W108 Y88:Y113">
    <cfRule type="expression" dxfId="920" priority="238">
      <formula>$X4="Benzick, Sue"</formula>
    </cfRule>
    <cfRule type="expression" dxfId="919" priority="239">
      <formula>$X4="Jenne, Richard"</formula>
    </cfRule>
    <cfRule type="expression" dxfId="918" priority="240">
      <formula>$X4="McQueen, Jennifer"</formula>
    </cfRule>
  </conditionalFormatting>
  <dataValidations count="3">
    <dataValidation allowBlank="1" showInputMessage="1" showErrorMessage="1" sqref="S88:S113 S4:S86" xr:uid="{F53FA255-9224-4ADF-A230-E84DC8EC89C5}"/>
    <dataValidation type="list" allowBlank="1" showInputMessage="1" showErrorMessage="1" sqref="B164:B170 B172:B442 B4:B162" xr:uid="{73CB25B1-9935-4559-84D6-2CD89F18B02A}">
      <formula1>Class</formula1>
    </dataValidation>
    <dataValidation type="list" allowBlank="1" showInputMessage="1" showErrorMessage="1" sqref="O164:O386" xr:uid="{FFCAD722-D837-4CC2-9C77-BDB70A788B8F}">
      <formula1>Instructor</formula1>
    </dataValidation>
  </dataValidations>
  <printOptions horizontalCentered="1" verticalCentered="1"/>
  <pageMargins left="0.7" right="0.7" top="0.75" bottom="0.75" header="0.3" footer="0.3"/>
  <pageSetup paperSize="5" scale="35" fitToHeight="0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C1335-9BC5-4571-85CE-C5CFC6D0D6A3}">
  <dimension ref="A1:Y16"/>
  <sheetViews>
    <sheetView workbookViewId="0">
      <pane xSplit="1" topLeftCell="B1" activePane="topRight" state="frozen"/>
      <selection pane="topRight" activeCell="S8" sqref="S8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531</v>
      </c>
    </row>
    <row r="3" spans="1:25" x14ac:dyDescent="0.25">
      <c r="A3" t="s">
        <v>426</v>
      </c>
      <c r="B3" t="s">
        <v>427</v>
      </c>
      <c r="C3" t="s">
        <v>41</v>
      </c>
      <c r="D3" t="s">
        <v>42</v>
      </c>
      <c r="E3" t="s">
        <v>428</v>
      </c>
      <c r="F3" t="s">
        <v>44</v>
      </c>
      <c r="G3" t="s">
        <v>45</v>
      </c>
      <c r="H3" t="s">
        <v>46</v>
      </c>
      <c r="I3" t="s">
        <v>429</v>
      </c>
      <c r="J3" t="s">
        <v>430</v>
      </c>
      <c r="K3" t="s">
        <v>56</v>
      </c>
      <c r="L3" t="s">
        <v>48</v>
      </c>
      <c r="M3" t="s">
        <v>431</v>
      </c>
      <c r="N3" t="s">
        <v>432</v>
      </c>
      <c r="O3" t="s">
        <v>433</v>
      </c>
      <c r="P3" t="s">
        <v>434</v>
      </c>
      <c r="Q3" t="s">
        <v>435</v>
      </c>
      <c r="R3" t="s">
        <v>436</v>
      </c>
      <c r="S3" t="s">
        <v>437</v>
      </c>
      <c r="T3" t="s">
        <v>438</v>
      </c>
      <c r="U3" t="s">
        <v>439</v>
      </c>
      <c r="V3" t="s">
        <v>440</v>
      </c>
      <c r="W3" t="s">
        <v>53</v>
      </c>
      <c r="X3" t="s">
        <v>441</v>
      </c>
      <c r="Y3" t="s">
        <v>442</v>
      </c>
    </row>
    <row r="4" spans="1:25" x14ac:dyDescent="0.25">
      <c r="A4" t="s">
        <v>443</v>
      </c>
      <c r="B4" t="s">
        <v>278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t="s">
        <v>464</v>
      </c>
      <c r="B5" t="s">
        <v>278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1</v>
      </c>
      <c r="J5">
        <v>1</v>
      </c>
      <c r="K5">
        <v>1</v>
      </c>
      <c r="L5">
        <v>0</v>
      </c>
      <c r="M5">
        <v>0</v>
      </c>
      <c r="N5">
        <v>1</v>
      </c>
      <c r="O5">
        <v>1</v>
      </c>
      <c r="P5">
        <v>0</v>
      </c>
      <c r="Q5">
        <v>0</v>
      </c>
      <c r="R5">
        <v>0</v>
      </c>
      <c r="S5">
        <v>0</v>
      </c>
      <c r="T5">
        <v>0</v>
      </c>
      <c r="U5">
        <v>6</v>
      </c>
      <c r="V5">
        <v>0</v>
      </c>
      <c r="W5">
        <v>3</v>
      </c>
      <c r="X5">
        <v>2</v>
      </c>
      <c r="Y5">
        <v>16</v>
      </c>
    </row>
    <row r="6" spans="1:25" x14ac:dyDescent="0.25">
      <c r="A6" t="s">
        <v>449</v>
      </c>
      <c r="B6" t="s">
        <v>278</v>
      </c>
      <c r="I6">
        <v>2</v>
      </c>
      <c r="P6">
        <v>1</v>
      </c>
      <c r="Q6">
        <v>3</v>
      </c>
      <c r="R6">
        <v>1</v>
      </c>
      <c r="V6">
        <v>3</v>
      </c>
      <c r="Y6">
        <v>10</v>
      </c>
    </row>
    <row r="7" spans="1:25" x14ac:dyDescent="0.25">
      <c r="A7" t="s">
        <v>454</v>
      </c>
      <c r="B7" t="s">
        <v>278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>
        <v>0</v>
      </c>
      <c r="Q7">
        <v>2</v>
      </c>
      <c r="R7">
        <v>1</v>
      </c>
      <c r="S7">
        <v>1</v>
      </c>
      <c r="T7">
        <v>1</v>
      </c>
      <c r="U7">
        <v>1</v>
      </c>
      <c r="V7">
        <v>1</v>
      </c>
      <c r="W7">
        <v>1</v>
      </c>
      <c r="X7">
        <v>1</v>
      </c>
      <c r="Y7">
        <v>22</v>
      </c>
    </row>
    <row r="8" spans="1:25" x14ac:dyDescent="0.25">
      <c r="A8" t="s">
        <v>444</v>
      </c>
      <c r="B8" t="s">
        <v>278</v>
      </c>
      <c r="I8">
        <v>4</v>
      </c>
      <c r="J8">
        <v>2</v>
      </c>
      <c r="O8">
        <v>1</v>
      </c>
      <c r="P8">
        <v>4</v>
      </c>
      <c r="Q8">
        <v>28</v>
      </c>
      <c r="R8">
        <v>15</v>
      </c>
      <c r="S8">
        <v>17</v>
      </c>
      <c r="T8">
        <v>17</v>
      </c>
      <c r="V8">
        <v>1</v>
      </c>
      <c r="W8">
        <v>1</v>
      </c>
      <c r="Y8">
        <v>90</v>
      </c>
    </row>
    <row r="9" spans="1:25" x14ac:dyDescent="0.25">
      <c r="A9" t="s">
        <v>445</v>
      </c>
      <c r="B9" t="s">
        <v>278</v>
      </c>
      <c r="Y9">
        <v>0</v>
      </c>
    </row>
    <row r="10" spans="1:25" x14ac:dyDescent="0.25">
      <c r="A10" t="s">
        <v>446</v>
      </c>
      <c r="B10" t="s">
        <v>278</v>
      </c>
      <c r="Y10">
        <v>0</v>
      </c>
    </row>
    <row r="11" spans="1:25" x14ac:dyDescent="0.25">
      <c r="A11" t="s">
        <v>447</v>
      </c>
      <c r="B11" t="s">
        <v>278</v>
      </c>
      <c r="Y11">
        <v>0</v>
      </c>
    </row>
    <row r="12" spans="1:25" x14ac:dyDescent="0.25">
      <c r="A12" t="s">
        <v>448</v>
      </c>
      <c r="B12" t="s">
        <v>278</v>
      </c>
      <c r="Y12">
        <v>0</v>
      </c>
    </row>
    <row r="13" spans="1:25" x14ac:dyDescent="0.25">
      <c r="A13" t="s">
        <v>450</v>
      </c>
      <c r="B13" t="s">
        <v>278</v>
      </c>
      <c r="Y13">
        <v>0</v>
      </c>
    </row>
    <row r="14" spans="1:25" x14ac:dyDescent="0.25">
      <c r="A14" t="s">
        <v>451</v>
      </c>
      <c r="B14" t="s">
        <v>278</v>
      </c>
      <c r="Y14">
        <v>0</v>
      </c>
    </row>
    <row r="15" spans="1:25" x14ac:dyDescent="0.25">
      <c r="A15" t="s">
        <v>452</v>
      </c>
      <c r="B15" t="s">
        <v>278</v>
      </c>
      <c r="Y15">
        <v>0</v>
      </c>
    </row>
    <row r="16" spans="1:25" x14ac:dyDescent="0.25">
      <c r="A16" t="s">
        <v>453</v>
      </c>
      <c r="B16" t="s">
        <v>278</v>
      </c>
      <c r="Y16">
        <v>0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/>
    <pageSetUpPr fitToPage="1"/>
  </sheetPr>
  <dimension ref="B1:AA55"/>
  <sheetViews>
    <sheetView showGridLines="0" tabSelected="1" zoomScale="80" zoomScaleNormal="80" workbookViewId="0">
      <pane xSplit="9" ySplit="4" topLeftCell="J5" activePane="bottomRight" state="frozen"/>
      <selection pane="topRight"/>
      <selection pane="bottomLeft"/>
      <selection pane="bottomRight" activeCell="B4" sqref="B4"/>
    </sheetView>
  </sheetViews>
  <sheetFormatPr defaultColWidth="9.140625" defaultRowHeight="15" customHeight="1" x14ac:dyDescent="0.25"/>
  <cols>
    <col min="1" max="1" width="10.140625" bestFit="1" customWidth="1"/>
    <col min="2" max="2" width="39.5703125" customWidth="1"/>
    <col min="3" max="3" width="7.5703125" customWidth="1"/>
    <col min="4" max="4" width="13.5703125" customWidth="1"/>
    <col min="5" max="5" width="11.140625" customWidth="1"/>
    <col min="6" max="6" width="9.140625" customWidth="1"/>
    <col min="7" max="7" width="9.85546875" customWidth="1"/>
    <col min="8" max="8" width="10.140625" customWidth="1"/>
    <col min="9" max="9" width="9.7109375" customWidth="1"/>
    <col min="10" max="10" width="11.28515625" customWidth="1"/>
    <col min="11" max="11" width="8.28515625" customWidth="1"/>
    <col min="12" max="14" width="9.7109375" customWidth="1"/>
    <col min="15" max="15" width="7.42578125" customWidth="1"/>
    <col min="16" max="17" width="9.28515625" customWidth="1"/>
    <col min="18" max="18" width="17.28515625" customWidth="1"/>
    <col min="19" max="19" width="16.28515625" customWidth="1"/>
    <col min="20" max="20" width="10.7109375" customWidth="1"/>
    <col min="21" max="21" width="17.5703125" customWidth="1"/>
    <col min="22" max="22" width="12.5703125" customWidth="1"/>
    <col min="23" max="23" width="13.28515625" customWidth="1"/>
    <col min="24" max="24" width="10.5703125" customWidth="1"/>
    <col min="25" max="25" width="22.7109375" customWidth="1"/>
    <col min="26" max="26" width="21.7109375" customWidth="1"/>
    <col min="27" max="27" width="27.140625" customWidth="1"/>
  </cols>
  <sheetData>
    <row r="1" spans="2:27" x14ac:dyDescent="0.25">
      <c r="B1" s="17"/>
      <c r="C1" s="16"/>
      <c r="D1" s="16"/>
      <c r="E1" s="16"/>
      <c r="F1" s="16"/>
      <c r="G1" s="3"/>
      <c r="H1" s="16"/>
      <c r="I1" s="16"/>
      <c r="J1" s="18"/>
      <c r="K1" s="16"/>
      <c r="L1" s="16"/>
      <c r="M1" s="16"/>
      <c r="N1" s="16"/>
      <c r="O1" s="16"/>
      <c r="P1" s="16"/>
      <c r="Q1" s="16"/>
      <c r="R1" s="16"/>
      <c r="S1" s="16"/>
      <c r="T1" s="2"/>
      <c r="U1" s="19"/>
      <c r="V1" s="19"/>
      <c r="W1" s="19"/>
      <c r="X1" s="19"/>
      <c r="Y1" s="16"/>
      <c r="Z1" s="16"/>
      <c r="AA1" s="16"/>
    </row>
    <row r="2" spans="2:27" x14ac:dyDescent="0.25">
      <c r="B2" s="226"/>
      <c r="C2" s="16"/>
      <c r="D2" s="16"/>
      <c r="E2" s="16"/>
      <c r="F2" s="16"/>
      <c r="G2" s="16"/>
      <c r="H2" s="16"/>
      <c r="I2" s="16"/>
      <c r="J2" s="18"/>
      <c r="K2" s="16"/>
      <c r="L2" s="16"/>
      <c r="M2" s="16"/>
      <c r="N2" s="16"/>
      <c r="O2" s="16"/>
      <c r="P2" s="16"/>
      <c r="Q2" s="16"/>
      <c r="R2" s="16"/>
      <c r="S2" s="16"/>
      <c r="T2" s="16"/>
      <c r="U2" s="19"/>
      <c r="V2" s="19"/>
      <c r="W2" s="19"/>
      <c r="X2" s="19"/>
      <c r="Y2" s="16"/>
      <c r="Z2" s="16"/>
      <c r="AA2" s="16"/>
    </row>
    <row r="3" spans="2:27" ht="15.75" x14ac:dyDescent="0.25">
      <c r="B3" s="489" t="s">
        <v>532</v>
      </c>
      <c r="C3" s="490"/>
      <c r="D3" s="490"/>
      <c r="E3" s="490"/>
      <c r="F3" s="490"/>
      <c r="G3" s="490"/>
      <c r="H3" s="490"/>
      <c r="I3" s="490"/>
      <c r="J3" s="490"/>
      <c r="K3" s="491" t="s">
        <v>533</v>
      </c>
      <c r="L3" s="492"/>
      <c r="M3" s="492"/>
      <c r="N3" s="492"/>
      <c r="O3" s="493"/>
      <c r="P3" s="493"/>
      <c r="Q3" s="493"/>
      <c r="R3" s="493"/>
      <c r="S3" s="493"/>
      <c r="T3" s="493"/>
      <c r="U3" s="493"/>
      <c r="V3" s="412"/>
      <c r="W3" s="44"/>
      <c r="X3" s="494" t="s">
        <v>534</v>
      </c>
      <c r="Y3" s="494"/>
      <c r="Z3" s="494"/>
      <c r="AA3" s="495"/>
    </row>
    <row r="4" spans="2:27" ht="105" x14ac:dyDescent="0.25">
      <c r="B4" s="20" t="s">
        <v>2</v>
      </c>
      <c r="C4" s="21" t="s">
        <v>3</v>
      </c>
      <c r="D4" s="21" t="s">
        <v>4</v>
      </c>
      <c r="E4" s="21" t="s">
        <v>535</v>
      </c>
      <c r="F4" s="21" t="s">
        <v>536</v>
      </c>
      <c r="G4" s="21" t="s">
        <v>537</v>
      </c>
      <c r="H4" s="21" t="s">
        <v>538</v>
      </c>
      <c r="I4" s="21" t="s">
        <v>539</v>
      </c>
      <c r="J4" s="40" t="s">
        <v>540</v>
      </c>
      <c r="K4" s="45" t="s">
        <v>11</v>
      </c>
      <c r="L4" s="225" t="s">
        <v>541</v>
      </c>
      <c r="M4" s="225" t="s">
        <v>542</v>
      </c>
      <c r="N4" s="225" t="s">
        <v>543</v>
      </c>
      <c r="O4" s="41" t="s">
        <v>13</v>
      </c>
      <c r="P4" s="41" t="s">
        <v>544</v>
      </c>
      <c r="Q4" s="41" t="s">
        <v>545</v>
      </c>
      <c r="R4" s="42" t="s">
        <v>546</v>
      </c>
      <c r="S4" s="42" t="s">
        <v>547</v>
      </c>
      <c r="T4" s="42" t="s">
        <v>548</v>
      </c>
      <c r="U4" s="43" t="s">
        <v>549</v>
      </c>
      <c r="V4" s="43" t="s">
        <v>550</v>
      </c>
      <c r="W4" s="46" t="s">
        <v>551</v>
      </c>
      <c r="X4" s="31" t="s">
        <v>552</v>
      </c>
      <c r="Y4" s="22" t="s">
        <v>553</v>
      </c>
      <c r="Z4" s="22" t="s">
        <v>554</v>
      </c>
      <c r="AA4" s="23" t="s">
        <v>467</v>
      </c>
    </row>
    <row r="5" spans="2:27" ht="31.5" x14ac:dyDescent="0.25">
      <c r="B5" s="48" t="s">
        <v>15</v>
      </c>
      <c r="C5" s="34"/>
      <c r="D5" s="34" t="s">
        <v>228</v>
      </c>
      <c r="E5" s="34">
        <f>COUNTIF(Table2[Course Title],Table311[[#This Row],[Courses - Planned vs Need (Active Courses)]])</f>
        <v>10</v>
      </c>
      <c r="F5" s="49">
        <v>45</v>
      </c>
      <c r="G5" s="34">
        <f>Table311[[#This Row],[Course Offerings]]*Table311[[#This Row],[Quota per Offering]]</f>
        <v>450</v>
      </c>
      <c r="H5" s="140">
        <v>248</v>
      </c>
      <c r="I5" s="34">
        <f t="shared" ref="I5:I36" si="0">SUM(G5-H5)</f>
        <v>202</v>
      </c>
      <c r="J5" s="352">
        <f>IFERROR(Table311[[#This Row],[Planned Quotas]]/Table311[[#This Row],[Fleet Quota Need]],100%)</f>
        <v>1.814516129032258</v>
      </c>
      <c r="K5" s="35">
        <f>SUMIF(Table2[Course Title],Table311[[#This Row],[Courses - Planned vs Need (Active Courses)]],Table2[Graduates])</f>
        <v>0</v>
      </c>
      <c r="L5" s="35">
        <f>SUMIF(Table2[Course Title],Table311[[#This Row],[Courses - Planned vs Need (Active Courses)]],Table2[Registered])</f>
        <v>0</v>
      </c>
      <c r="M5" s="35">
        <f>SUMIF(Table2[Course Title],Table311[[#This Row],[Courses - Planned vs Need (Active Courses)]],Table2[Waitlisted])</f>
        <v>0</v>
      </c>
      <c r="N5" s="35">
        <f>SUMIF(Table2[Course Title],Table311[[#This Row],[Courses - Planned vs Need (Active Courses)]],Table2[Walk-ins])</f>
        <v>0</v>
      </c>
      <c r="O5" s="36">
        <f>SUMIF(Table2[Course Title],Table311[[#This Row],[Courses - Planned vs Need (Active Courses)]],Table2[No Shows])</f>
        <v>0</v>
      </c>
      <c r="P5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5" s="37">
        <f>ROUNDDOWN(Table311[[#This Row],[To date quotas unused (Open quotas+ no shows)]]/Table311[[#This Row],[Quota per Offering]],0)</f>
        <v>0</v>
      </c>
      <c r="R5" s="36">
        <f t="shared" ref="R5:R36" si="1">SUM(G5-K5)</f>
        <v>450</v>
      </c>
      <c r="S5" s="37">
        <f ca="1">COUNTIFS(Table2[Course Title],Table311[[#This Row],[Courses - Planned vs Need (Active Courses)]],Table2[Roster Status],"1",Table2[Remaining Courses],"0")</f>
        <v>0</v>
      </c>
      <c r="T5" s="37">
        <f ca="1">COUNTIFS(Table2[Course Title],Table311[[#This Row],[Courses - Planned vs Need (Active Courses)]],Table2[Remaining Courses],"1")</f>
        <v>10</v>
      </c>
      <c r="U5" s="39">
        <f t="shared" ref="U5:U36" si="2">IFERROR((K5/H5),100%)</f>
        <v>0</v>
      </c>
      <c r="V5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5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5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5" s="37">
        <f t="shared" ref="Y5:Y36" ca="1" si="3">SUM(S5,T5)*F5</f>
        <v>450</v>
      </c>
      <c r="Z5" s="37">
        <f>Table311[[#This Row],[Fleet Quota Need]]-Table311[[#This Row],[Total Grads]]</f>
        <v>248</v>
      </c>
      <c r="AA5" s="25"/>
    </row>
    <row r="6" spans="2:27" ht="15.75" x14ac:dyDescent="0.25">
      <c r="B6" s="48" t="s">
        <v>89</v>
      </c>
      <c r="C6" s="34"/>
      <c r="D6" s="34" t="s">
        <v>237</v>
      </c>
      <c r="E6" s="34">
        <f>COUNTIF(Table2[Course Title],Table311[[#This Row],[Courses - Planned vs Need (Active Courses)]])</f>
        <v>2</v>
      </c>
      <c r="F6" s="34">
        <v>25</v>
      </c>
      <c r="G6" s="34">
        <f>Table311[[#This Row],[Course Offerings]]*Table311[[#This Row],[Quota per Offering]]</f>
        <v>50</v>
      </c>
      <c r="H6" s="140">
        <v>472</v>
      </c>
      <c r="I6" s="34">
        <f t="shared" si="0"/>
        <v>-422</v>
      </c>
      <c r="J6" s="352">
        <f>IFERROR(Table311[[#This Row],[Planned Quotas]]/Table311[[#This Row],[Fleet Quota Need]],100%)</f>
        <v>0.1059322033898305</v>
      </c>
      <c r="K6" s="35">
        <f>SUMIF(Table2[Course Title],Table311[[#This Row],[Courses - Planned vs Need (Active Courses)]],Table2[Graduates])</f>
        <v>0</v>
      </c>
      <c r="L6" s="60">
        <f>SUMIF(Table2[Course Title],Table311[[#This Row],[Courses - Planned vs Need (Active Courses)]],Table2[Registered])</f>
        <v>0</v>
      </c>
      <c r="M6" s="60">
        <f>SUMIF(Table2[Course Title],Table311[[#This Row],[Courses - Planned vs Need (Active Courses)]],Table2[Waitlisted])</f>
        <v>0</v>
      </c>
      <c r="N6" s="60">
        <f>SUMIF(Table2[Course Title],Table311[[#This Row],[Courses - Planned vs Need (Active Courses)]],Table2[Walk-ins])</f>
        <v>0</v>
      </c>
      <c r="O6" s="36">
        <f>SUMIF(Table2[Course Title],Table311[[#This Row],[Courses - Planned vs Need (Active Courses)]],Table2[No Shows])</f>
        <v>0</v>
      </c>
      <c r="P6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6" s="37">
        <f>ROUNDDOWN(Table311[[#This Row],[To date quotas unused (Open quotas+ no shows)]]/Table311[[#This Row],[Quota per Offering]],0)</f>
        <v>0</v>
      </c>
      <c r="R6" s="36">
        <f t="shared" si="1"/>
        <v>50</v>
      </c>
      <c r="S6" s="37">
        <f ca="1">COUNTIFS(Table2[Course Title],Table311[[#This Row],[Courses - Planned vs Need (Active Courses)]],Table2[Roster Status],"1",Table2[Remaining Courses],"0")</f>
        <v>0</v>
      </c>
      <c r="T6" s="37">
        <f ca="1">COUNTIFS(Table2[Course Title],Table311[[#This Row],[Courses - Planned vs Need (Active Courses)]],Table2[Remaining Courses],"1")</f>
        <v>2</v>
      </c>
      <c r="U6" s="39">
        <f t="shared" si="2"/>
        <v>0</v>
      </c>
      <c r="V6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6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6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6" s="37">
        <f t="shared" ca="1" si="3"/>
        <v>50</v>
      </c>
      <c r="Z6" s="37">
        <f>Table311[[#This Row],[Fleet Quota Need]]-Table311[[#This Row],[Total Grads]]</f>
        <v>472</v>
      </c>
      <c r="AA6" s="25"/>
    </row>
    <row r="7" spans="2:27" ht="15.75" x14ac:dyDescent="0.25">
      <c r="B7" s="48" t="s">
        <v>42</v>
      </c>
      <c r="C7" s="34"/>
      <c r="D7" s="34" t="s">
        <v>237</v>
      </c>
      <c r="E7" s="34">
        <f>COUNTIF(Table2[Course Title],Table311[[#This Row],[Courses - Planned vs Need (Active Courses)]])</f>
        <v>4</v>
      </c>
      <c r="F7" s="34">
        <v>30</v>
      </c>
      <c r="G7" s="34">
        <f>Table311[[#This Row],[Course Offerings]]*Table311[[#This Row],[Quota per Offering]]</f>
        <v>120</v>
      </c>
      <c r="H7" s="140">
        <v>216</v>
      </c>
      <c r="I7" s="34">
        <f t="shared" si="0"/>
        <v>-96</v>
      </c>
      <c r="J7" s="352">
        <f>IFERROR(Table311[[#This Row],[Planned Quotas]]/Table311[[#This Row],[Fleet Quota Need]],100%)</f>
        <v>0.55555555555555558</v>
      </c>
      <c r="K7" s="35">
        <f>SUMIF(Table2[Course Title],Table311[[#This Row],[Courses - Planned vs Need (Active Courses)]],Table2[Graduates])</f>
        <v>0</v>
      </c>
      <c r="L7" s="60">
        <f>SUMIF(Table2[Course Title],Table311[[#This Row],[Courses - Planned vs Need (Active Courses)]],Table2[Registered])</f>
        <v>0</v>
      </c>
      <c r="M7" s="60">
        <f>SUMIF(Table2[Course Title],Table311[[#This Row],[Courses - Planned vs Need (Active Courses)]],Table2[Waitlisted])</f>
        <v>0</v>
      </c>
      <c r="N7" s="60">
        <f>SUMIF(Table2[Course Title],Table311[[#This Row],[Courses - Planned vs Need (Active Courses)]],Table2[Walk-ins])</f>
        <v>0</v>
      </c>
      <c r="O7" s="36">
        <f>SUMIF(Table2[Course Title],Table311[[#This Row],[Courses - Planned vs Need (Active Courses)]],Table2[No Shows])</f>
        <v>0</v>
      </c>
      <c r="P7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7" s="37">
        <f>ROUNDDOWN(Table311[[#This Row],[To date quotas unused (Open quotas+ no shows)]]/Table311[[#This Row],[Quota per Offering]],0)</f>
        <v>0</v>
      </c>
      <c r="R7" s="36">
        <f t="shared" si="1"/>
        <v>120</v>
      </c>
      <c r="S7" s="37">
        <f ca="1">COUNTIFS(Table2[Course Title],Table311[[#This Row],[Courses - Planned vs Need (Active Courses)]],Table2[Roster Status],"1",Table2[Remaining Courses],"0")</f>
        <v>0</v>
      </c>
      <c r="T7" s="37">
        <f ca="1">COUNTIFS(Table2[Course Title],Table311[[#This Row],[Courses - Planned vs Need (Active Courses)]],Table2[Remaining Courses],"1")</f>
        <v>4</v>
      </c>
      <c r="U7" s="39">
        <f t="shared" si="2"/>
        <v>0</v>
      </c>
      <c r="V7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7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7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7" s="37">
        <f t="shared" ca="1" si="3"/>
        <v>120</v>
      </c>
      <c r="Z7" s="37">
        <f>Table311[[#This Row],[Fleet Quota Need]]-Table311[[#This Row],[Total Grads]]</f>
        <v>216</v>
      </c>
      <c r="AA7" s="25"/>
    </row>
    <row r="8" spans="2:27" ht="15.75" x14ac:dyDescent="0.25">
      <c r="B8" s="48" t="s">
        <v>93</v>
      </c>
      <c r="C8" s="34"/>
      <c r="D8" s="34" t="s">
        <v>237</v>
      </c>
      <c r="E8" s="34">
        <f>COUNTIF(Table2[Course Title],Table311[[#This Row],[Courses - Planned vs Need (Active Courses)]])</f>
        <v>2</v>
      </c>
      <c r="F8" s="34">
        <v>25</v>
      </c>
      <c r="G8" s="34">
        <f>Table311[[#This Row],[Course Offerings]]*Table311[[#This Row],[Quota per Offering]]</f>
        <v>50</v>
      </c>
      <c r="H8" s="140">
        <v>181</v>
      </c>
      <c r="I8" s="34">
        <f t="shared" si="0"/>
        <v>-131</v>
      </c>
      <c r="J8" s="352">
        <f>IFERROR(Table311[[#This Row],[Planned Quotas]]/Table311[[#This Row],[Fleet Quota Need]],100%)</f>
        <v>0.27624309392265195</v>
      </c>
      <c r="K8" s="35">
        <f>SUMIF(Table2[Course Title],Table311[[#This Row],[Courses - Planned vs Need (Active Courses)]],Table2[Graduates])</f>
        <v>0</v>
      </c>
      <c r="L8" s="60">
        <f>SUMIF(Table2[Course Title],Table311[[#This Row],[Courses - Planned vs Need (Active Courses)]],Table2[Registered])</f>
        <v>0</v>
      </c>
      <c r="M8" s="60">
        <f>SUMIF(Table2[Course Title],Table311[[#This Row],[Courses - Planned vs Need (Active Courses)]],Table2[Waitlisted])</f>
        <v>0</v>
      </c>
      <c r="N8" s="60">
        <f>SUMIF(Table2[Course Title],Table311[[#This Row],[Courses - Planned vs Need (Active Courses)]],Table2[Walk-ins])</f>
        <v>0</v>
      </c>
      <c r="O8" s="36">
        <f>SUMIF(Table2[Course Title],Table311[[#This Row],[Courses - Planned vs Need (Active Courses)]],Table2[No Shows])</f>
        <v>0</v>
      </c>
      <c r="P8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8" s="37">
        <f>ROUNDDOWN(Table311[[#This Row],[To date quotas unused (Open quotas+ no shows)]]/Table311[[#This Row],[Quota per Offering]],0)</f>
        <v>0</v>
      </c>
      <c r="R8" s="36">
        <f t="shared" si="1"/>
        <v>50</v>
      </c>
      <c r="S8" s="37">
        <f ca="1">COUNTIFS(Table2[Course Title],Table311[[#This Row],[Courses - Planned vs Need (Active Courses)]],Table2[Roster Status],"1",Table2[Remaining Courses],"0")</f>
        <v>0</v>
      </c>
      <c r="T8" s="37">
        <f ca="1">COUNTIFS(Table2[Course Title],Table311[[#This Row],[Courses - Planned vs Need (Active Courses)]],Table2[Remaining Courses],"1")</f>
        <v>2</v>
      </c>
      <c r="U8" s="39">
        <f t="shared" si="2"/>
        <v>0</v>
      </c>
      <c r="V8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8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8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8" s="37">
        <f t="shared" ca="1" si="3"/>
        <v>50</v>
      </c>
      <c r="Z8" s="37">
        <f>Table311[[#This Row],[Fleet Quota Need]]-Table311[[#This Row],[Total Grads]]</f>
        <v>181</v>
      </c>
      <c r="AA8" s="25"/>
    </row>
    <row r="9" spans="2:27" ht="31.5" x14ac:dyDescent="0.25">
      <c r="B9" s="48" t="s">
        <v>44</v>
      </c>
      <c r="C9" s="34"/>
      <c r="D9" s="34" t="s">
        <v>237</v>
      </c>
      <c r="E9" s="34">
        <f>COUNTIF(Table2[Course Title],Table311[[#This Row],[Courses - Planned vs Need (Active Courses)]])</f>
        <v>4</v>
      </c>
      <c r="F9" s="34">
        <v>30</v>
      </c>
      <c r="G9" s="34">
        <f>Table311[[#This Row],[Course Offerings]]*Table311[[#This Row],[Quota per Offering]]</f>
        <v>120</v>
      </c>
      <c r="H9" s="140">
        <v>163</v>
      </c>
      <c r="I9" s="34">
        <f t="shared" si="0"/>
        <v>-43</v>
      </c>
      <c r="J9" s="352">
        <f>IFERROR(Table311[[#This Row],[Planned Quotas]]/Table311[[#This Row],[Fleet Quota Need]],100%)</f>
        <v>0.73619631901840488</v>
      </c>
      <c r="K9" s="35">
        <f>SUMIF(Table2[Course Title],Table311[[#This Row],[Courses - Planned vs Need (Active Courses)]],Table2[Graduates])</f>
        <v>0</v>
      </c>
      <c r="L9" s="60">
        <f>SUMIF(Table2[Course Title],Table311[[#This Row],[Courses - Planned vs Need (Active Courses)]],Table2[Registered])</f>
        <v>0</v>
      </c>
      <c r="M9" s="60">
        <f>SUMIF(Table2[Course Title],Table311[[#This Row],[Courses - Planned vs Need (Active Courses)]],Table2[Waitlisted])</f>
        <v>0</v>
      </c>
      <c r="N9" s="60">
        <f>SUMIF(Table2[Course Title],Table311[[#This Row],[Courses - Planned vs Need (Active Courses)]],Table2[Walk-ins])</f>
        <v>0</v>
      </c>
      <c r="O9" s="36">
        <f>SUMIF(Table2[Course Title],Table311[[#This Row],[Courses - Planned vs Need (Active Courses)]],Table2[No Shows])</f>
        <v>0</v>
      </c>
      <c r="P9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9" s="37">
        <f>ROUNDDOWN(Table311[[#This Row],[To date quotas unused (Open quotas+ no shows)]]/Table311[[#This Row],[Quota per Offering]],0)</f>
        <v>0</v>
      </c>
      <c r="R9" s="36">
        <f t="shared" si="1"/>
        <v>120</v>
      </c>
      <c r="S9" s="37">
        <f ca="1">COUNTIFS(Table2[Course Title],Table311[[#This Row],[Courses - Planned vs Need (Active Courses)]],Table2[Roster Status],"1",Table2[Remaining Courses],"0")</f>
        <v>0</v>
      </c>
      <c r="T9" s="37">
        <f ca="1">COUNTIFS(Table2[Course Title],Table311[[#This Row],[Courses - Planned vs Need (Active Courses)]],Table2[Remaining Courses],"1")</f>
        <v>4</v>
      </c>
      <c r="U9" s="39">
        <f t="shared" si="2"/>
        <v>0</v>
      </c>
      <c r="V9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9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9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9" s="37">
        <f t="shared" ca="1" si="3"/>
        <v>120</v>
      </c>
      <c r="Z9" s="37">
        <f>Table311[[#This Row],[Fleet Quota Need]]-Table311[[#This Row],[Total Grads]]</f>
        <v>163</v>
      </c>
      <c r="AA9" s="25"/>
    </row>
    <row r="10" spans="2:27" ht="15.75" x14ac:dyDescent="0.25">
      <c r="B10" s="48" t="s">
        <v>45</v>
      </c>
      <c r="C10" s="34"/>
      <c r="D10" s="34" t="s">
        <v>237</v>
      </c>
      <c r="E10" s="34">
        <f>COUNTIF(Table2[Course Title],Table311[[#This Row],[Courses - Planned vs Need (Active Courses)]])</f>
        <v>2</v>
      </c>
      <c r="F10" s="34">
        <v>25</v>
      </c>
      <c r="G10" s="34">
        <f>Table311[[#This Row],[Course Offerings]]*Table311[[#This Row],[Quota per Offering]]</f>
        <v>50</v>
      </c>
      <c r="H10" s="140">
        <v>216</v>
      </c>
      <c r="I10" s="34">
        <f t="shared" si="0"/>
        <v>-166</v>
      </c>
      <c r="J10" s="352">
        <f>IFERROR(Table311[[#This Row],[Planned Quotas]]/Table311[[#This Row],[Fleet Quota Need]],100%)</f>
        <v>0.23148148148148148</v>
      </c>
      <c r="K10" s="35">
        <f>SUMIF(Table2[Course Title],Table311[[#This Row],[Courses - Planned vs Need (Active Courses)]],Table2[Graduates])</f>
        <v>0</v>
      </c>
      <c r="L10" s="60">
        <f>SUMIF(Table2[Course Title],Table311[[#This Row],[Courses - Planned vs Need (Active Courses)]],Table2[Registered])</f>
        <v>0</v>
      </c>
      <c r="M10" s="60">
        <f>SUMIF(Table2[Course Title],Table311[[#This Row],[Courses - Planned vs Need (Active Courses)]],Table2[Waitlisted])</f>
        <v>0</v>
      </c>
      <c r="N10" s="60">
        <f>SUMIF(Table2[Course Title],Table311[[#This Row],[Courses - Planned vs Need (Active Courses)]],Table2[Walk-ins])</f>
        <v>0</v>
      </c>
      <c r="O10" s="36">
        <f>SUMIF(Table2[Course Title],Table311[[#This Row],[Courses - Planned vs Need (Active Courses)]],Table2[No Shows])</f>
        <v>0</v>
      </c>
      <c r="P10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10" s="37">
        <f>ROUNDDOWN(Table311[[#This Row],[To date quotas unused (Open quotas+ no shows)]]/Table311[[#This Row],[Quota per Offering]],0)</f>
        <v>0</v>
      </c>
      <c r="R10" s="36">
        <f t="shared" si="1"/>
        <v>50</v>
      </c>
      <c r="S10" s="37">
        <f ca="1">COUNTIFS(Table2[Course Title],Table311[[#This Row],[Courses - Planned vs Need (Active Courses)]],Table2[Roster Status],"1",Table2[Remaining Courses],"0")</f>
        <v>0</v>
      </c>
      <c r="T10" s="37">
        <f ca="1">COUNTIFS(Table2[Course Title],Table311[[#This Row],[Courses - Planned vs Need (Active Courses)]],Table2[Remaining Courses],"1")</f>
        <v>2</v>
      </c>
      <c r="U10" s="39">
        <f t="shared" si="2"/>
        <v>0</v>
      </c>
      <c r="V10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10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10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10" s="37">
        <f t="shared" ca="1" si="3"/>
        <v>50</v>
      </c>
      <c r="Z10" s="37">
        <f>Table311[[#This Row],[Fleet Quota Need]]-Table311[[#This Row],[Total Grads]]</f>
        <v>216</v>
      </c>
      <c r="AA10" s="25"/>
    </row>
    <row r="11" spans="2:27" ht="15.75" x14ac:dyDescent="0.25">
      <c r="B11" s="48" t="s">
        <v>46</v>
      </c>
      <c r="C11" s="34"/>
      <c r="D11" s="34" t="s">
        <v>237</v>
      </c>
      <c r="E11" s="34">
        <f>COUNTIF(Table2[Course Title],Table311[[#This Row],[Courses - Planned vs Need (Active Courses)]])</f>
        <v>4</v>
      </c>
      <c r="F11" s="34">
        <v>30</v>
      </c>
      <c r="G11" s="34">
        <f>Table311[[#This Row],[Course Offerings]]*Table311[[#This Row],[Quota per Offering]]</f>
        <v>120</v>
      </c>
      <c r="H11" s="140">
        <v>127</v>
      </c>
      <c r="I11" s="34">
        <f t="shared" si="0"/>
        <v>-7</v>
      </c>
      <c r="J11" s="352">
        <f>IFERROR(Table311[[#This Row],[Planned Quotas]]/Table311[[#This Row],[Fleet Quota Need]],100%)</f>
        <v>0.94488188976377951</v>
      </c>
      <c r="K11" s="35">
        <f>SUMIF(Table2[Course Title],Table311[[#This Row],[Courses - Planned vs Need (Active Courses)]],Table2[Graduates])</f>
        <v>0</v>
      </c>
      <c r="L11" s="60">
        <f>SUMIF(Table2[Course Title],Table311[[#This Row],[Courses - Planned vs Need (Active Courses)]],Table2[Registered])</f>
        <v>0</v>
      </c>
      <c r="M11" s="60">
        <f>SUMIF(Table2[Course Title],Table311[[#This Row],[Courses - Planned vs Need (Active Courses)]],Table2[Waitlisted])</f>
        <v>0</v>
      </c>
      <c r="N11" s="60">
        <f>SUMIF(Table2[Course Title],Table311[[#This Row],[Courses - Planned vs Need (Active Courses)]],Table2[Walk-ins])</f>
        <v>0</v>
      </c>
      <c r="O11" s="36">
        <f>SUMIF(Table2[Course Title],Table311[[#This Row],[Courses - Planned vs Need (Active Courses)]],Table2[No Shows])</f>
        <v>0</v>
      </c>
      <c r="P11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11" s="37">
        <f>ROUNDDOWN(Table311[[#This Row],[To date quotas unused (Open quotas+ no shows)]]/Table311[[#This Row],[Quota per Offering]],0)</f>
        <v>0</v>
      </c>
      <c r="R11" s="36">
        <f t="shared" si="1"/>
        <v>120</v>
      </c>
      <c r="S11" s="37">
        <f ca="1">COUNTIFS(Table2[Course Title],Table311[[#This Row],[Courses - Planned vs Need (Active Courses)]],Table2[Roster Status],"1",Table2[Remaining Courses],"0")</f>
        <v>0</v>
      </c>
      <c r="T11" s="37">
        <f ca="1">COUNTIFS(Table2[Course Title],Table311[[#This Row],[Courses - Planned vs Need (Active Courses)]],Table2[Remaining Courses],"1")</f>
        <v>4</v>
      </c>
      <c r="U11" s="39">
        <f t="shared" si="2"/>
        <v>0</v>
      </c>
      <c r="V11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11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11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11" s="37">
        <f t="shared" ca="1" si="3"/>
        <v>120</v>
      </c>
      <c r="Z11" s="37">
        <f>Table311[[#This Row],[Fleet Quota Need]]-Table311[[#This Row],[Total Grads]]</f>
        <v>127</v>
      </c>
      <c r="AA11" s="25"/>
    </row>
    <row r="12" spans="2:27" ht="31.5" x14ac:dyDescent="0.25">
      <c r="B12" s="48" t="s">
        <v>37</v>
      </c>
      <c r="C12" s="34"/>
      <c r="D12" s="34" t="s">
        <v>263</v>
      </c>
      <c r="E12" s="34">
        <f>COUNTIF(Table2[Course Title],Table311[[#This Row],[Courses - Planned vs Need (Active Courses)]])</f>
        <v>10</v>
      </c>
      <c r="F12" s="34">
        <v>45</v>
      </c>
      <c r="G12" s="34">
        <f>Table311[[#This Row],[Course Offerings]]*Table311[[#This Row],[Quota per Offering]]</f>
        <v>450</v>
      </c>
      <c r="H12" s="140">
        <v>409</v>
      </c>
      <c r="I12" s="34">
        <f t="shared" si="0"/>
        <v>41</v>
      </c>
      <c r="J12" s="352">
        <f>IFERROR(Table311[[#This Row],[Planned Quotas]]/Table311[[#This Row],[Fleet Quota Need]],100%)</f>
        <v>1.1002444987775062</v>
      </c>
      <c r="K12" s="35">
        <f>SUMIF(Table2[Course Title],Table311[[#This Row],[Courses - Planned vs Need (Active Courses)]],Table2[Graduates])</f>
        <v>0</v>
      </c>
      <c r="L12" s="60">
        <f>SUMIF(Table2[Course Title],Table311[[#This Row],[Courses - Planned vs Need (Active Courses)]],Table2[Registered])</f>
        <v>0</v>
      </c>
      <c r="M12" s="60">
        <f>SUMIF(Table2[Course Title],Table311[[#This Row],[Courses - Planned vs Need (Active Courses)]],Table2[Waitlisted])</f>
        <v>0</v>
      </c>
      <c r="N12" s="60">
        <f>SUMIF(Table2[Course Title],Table311[[#This Row],[Courses - Planned vs Need (Active Courses)]],Table2[Walk-ins])</f>
        <v>0</v>
      </c>
      <c r="O12" s="36">
        <f>SUMIF(Table2[Course Title],Table311[[#This Row],[Courses - Planned vs Need (Active Courses)]],Table2[No Shows])</f>
        <v>0</v>
      </c>
      <c r="P12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12" s="37">
        <f>ROUNDDOWN(Table311[[#This Row],[To date quotas unused (Open quotas+ no shows)]]/Table311[[#This Row],[Quota per Offering]],0)</f>
        <v>0</v>
      </c>
      <c r="R12" s="36">
        <f t="shared" si="1"/>
        <v>450</v>
      </c>
      <c r="S12" s="37">
        <f ca="1">COUNTIFS(Table2[Course Title],Table311[[#This Row],[Courses - Planned vs Need (Active Courses)]],Table2[Roster Status],"1",Table2[Remaining Courses],"0")</f>
        <v>0</v>
      </c>
      <c r="T12" s="37">
        <f ca="1">COUNTIFS(Table2[Course Title],Table311[[#This Row],[Courses - Planned vs Need (Active Courses)]],Table2[Remaining Courses],"1")</f>
        <v>10</v>
      </c>
      <c r="U12" s="39">
        <f t="shared" si="2"/>
        <v>0</v>
      </c>
      <c r="V12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12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12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12" s="37">
        <f t="shared" ca="1" si="3"/>
        <v>450</v>
      </c>
      <c r="Z12" s="37">
        <f>Table311[[#This Row],[Fleet Quota Need]]-Table311[[#This Row],[Total Grads]]</f>
        <v>409</v>
      </c>
      <c r="AA12" s="25"/>
    </row>
    <row r="13" spans="2:27" ht="31.5" x14ac:dyDescent="0.25">
      <c r="B13" s="53" t="s">
        <v>55</v>
      </c>
      <c r="C13" s="34" t="s">
        <v>18</v>
      </c>
      <c r="D13" s="34" t="s">
        <v>263</v>
      </c>
      <c r="E13" s="34">
        <f>COUNTIF(Table2[Course Title],Table311[[#This Row],[Courses - Planned vs Need (Active Courses)]])</f>
        <v>37</v>
      </c>
      <c r="F13" s="34">
        <v>25</v>
      </c>
      <c r="G13" s="34">
        <f>Table311[[#This Row],[Course Offerings]]*Table311[[#This Row],[Quota per Offering]]</f>
        <v>925</v>
      </c>
      <c r="H13" s="140">
        <v>2190</v>
      </c>
      <c r="I13" s="34">
        <f t="shared" si="0"/>
        <v>-1265</v>
      </c>
      <c r="J13" s="352">
        <f>IFERROR(Table311[[#This Row],[Planned Quotas]]/Table311[[#This Row],[Fleet Quota Need]],100%)</f>
        <v>0.4223744292237443</v>
      </c>
      <c r="K13" s="35">
        <f>SUMIF(Table2[Course Title],Table311[[#This Row],[Courses - Planned vs Need (Active Courses)]],Table2[Graduates])</f>
        <v>0</v>
      </c>
      <c r="L13" s="60">
        <f>SUMIF(Table2[Course Title],Table311[[#This Row],[Courses - Planned vs Need (Active Courses)]],Table2[Registered])</f>
        <v>0</v>
      </c>
      <c r="M13" s="60">
        <f>SUMIF(Table2[Course Title],Table311[[#This Row],[Courses - Planned vs Need (Active Courses)]],Table2[Waitlisted])</f>
        <v>0</v>
      </c>
      <c r="N13" s="60">
        <f>SUMIF(Table2[Course Title],Table311[[#This Row],[Courses - Planned vs Need (Active Courses)]],Table2[Walk-ins])</f>
        <v>0</v>
      </c>
      <c r="O13" s="36">
        <f>SUMIF(Table2[Course Title],Table311[[#This Row],[Courses - Planned vs Need (Active Courses)]],Table2[No Shows])</f>
        <v>0</v>
      </c>
      <c r="P13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13" s="37">
        <f>ROUNDDOWN(Table311[[#This Row],[To date quotas unused (Open quotas+ no shows)]]/Table311[[#This Row],[Quota per Offering]],0)</f>
        <v>0</v>
      </c>
      <c r="R13" s="36">
        <f t="shared" si="1"/>
        <v>925</v>
      </c>
      <c r="S13" s="37">
        <f ca="1">COUNTIFS(Table2[Course Title],Table311[[#This Row],[Courses - Planned vs Need (Active Courses)]],Table2[Roster Status],"1",Table2[Remaining Courses],"0")</f>
        <v>0</v>
      </c>
      <c r="T13" s="37">
        <f ca="1">COUNTIFS(Table2[Course Title],Table311[[#This Row],[Courses - Planned vs Need (Active Courses)]],Table2[Remaining Courses],"1")</f>
        <v>37</v>
      </c>
      <c r="U13" s="39">
        <f t="shared" si="2"/>
        <v>0</v>
      </c>
      <c r="V13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13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13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13" s="37">
        <f t="shared" ca="1" si="3"/>
        <v>925</v>
      </c>
      <c r="Z13" s="37">
        <f>Table311[[#This Row],[Fleet Quota Need]]-Table311[[#This Row],[Total Grads]]</f>
        <v>2190</v>
      </c>
      <c r="AA13" s="25"/>
    </row>
    <row r="14" spans="2:27" ht="15.75" x14ac:dyDescent="0.25">
      <c r="B14" s="53" t="s">
        <v>47</v>
      </c>
      <c r="C14" s="34" t="s">
        <v>18</v>
      </c>
      <c r="D14" s="34" t="s">
        <v>237</v>
      </c>
      <c r="E14" s="34">
        <f>COUNTIF(Table2[Course Title],Table311[[#This Row],[Courses - Planned vs Need (Active Courses)]])</f>
        <v>5</v>
      </c>
      <c r="F14" s="34">
        <v>25</v>
      </c>
      <c r="G14" s="34">
        <f>Table311[[#This Row],[Course Offerings]]*Table311[[#This Row],[Quota per Offering]]</f>
        <v>125</v>
      </c>
      <c r="H14" s="140">
        <v>932</v>
      </c>
      <c r="I14" s="34">
        <f t="shared" si="0"/>
        <v>-807</v>
      </c>
      <c r="J14" s="352">
        <f>IFERROR(Table311[[#This Row],[Planned Quotas]]/Table311[[#This Row],[Fleet Quota Need]],100%)</f>
        <v>0.13412017167381973</v>
      </c>
      <c r="K14" s="35">
        <f>SUMIF(Table2[Course Title],Table311[[#This Row],[Courses - Planned vs Need (Active Courses)]],Table2[Graduates])</f>
        <v>0</v>
      </c>
      <c r="L14" s="60">
        <f>SUMIF(Table2[Course Title],Table311[[#This Row],[Courses - Planned vs Need (Active Courses)]],Table2[Registered])</f>
        <v>0</v>
      </c>
      <c r="M14" s="60">
        <f>SUMIF(Table2[Course Title],Table311[[#This Row],[Courses - Planned vs Need (Active Courses)]],Table2[Waitlisted])</f>
        <v>0</v>
      </c>
      <c r="N14" s="60">
        <f>SUMIF(Table2[Course Title],Table311[[#This Row],[Courses - Planned vs Need (Active Courses)]],Table2[Walk-ins])</f>
        <v>0</v>
      </c>
      <c r="O14" s="36">
        <f>SUMIF(Table2[Course Title],Table311[[#This Row],[Courses - Planned vs Need (Active Courses)]],Table2[No Shows])</f>
        <v>0</v>
      </c>
      <c r="P14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14" s="37">
        <f>ROUNDDOWN(Table311[[#This Row],[To date quotas unused (Open quotas+ no shows)]]/Table311[[#This Row],[Quota per Offering]],0)</f>
        <v>0</v>
      </c>
      <c r="R14" s="36">
        <f t="shared" si="1"/>
        <v>125</v>
      </c>
      <c r="S14" s="37">
        <f ca="1">COUNTIFS(Table2[Course Title],Table311[[#This Row],[Courses - Planned vs Need (Active Courses)]],Table2[Roster Status],"1",Table2[Remaining Courses],"0")</f>
        <v>0</v>
      </c>
      <c r="T14" s="37">
        <f ca="1">COUNTIFS(Table2[Course Title],Table311[[#This Row],[Courses - Planned vs Need (Active Courses)]],Table2[Remaining Courses],"1")</f>
        <v>5</v>
      </c>
      <c r="U14" s="39">
        <f t="shared" si="2"/>
        <v>0</v>
      </c>
      <c r="V14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14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14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14" s="37">
        <f t="shared" ca="1" si="3"/>
        <v>125</v>
      </c>
      <c r="Z14" s="37">
        <f>Table311[[#This Row],[Fleet Quota Need]]-Table311[[#This Row],[Total Grads]]</f>
        <v>932</v>
      </c>
      <c r="AA14" s="25"/>
    </row>
    <row r="15" spans="2:27" ht="15.75" x14ac:dyDescent="0.25">
      <c r="B15" s="53" t="s">
        <v>56</v>
      </c>
      <c r="C15" s="34" t="s">
        <v>18</v>
      </c>
      <c r="D15" s="34" t="s">
        <v>263</v>
      </c>
      <c r="E15" s="34">
        <f>COUNTIF(Table2[Course Title],Table311[[#This Row],[Courses - Planned vs Need (Active Courses)]])</f>
        <v>5</v>
      </c>
      <c r="F15" s="34">
        <v>35</v>
      </c>
      <c r="G15" s="34">
        <f>Table311[[#This Row],[Course Offerings]]*Table311[[#This Row],[Quota per Offering]]</f>
        <v>175</v>
      </c>
      <c r="H15" s="140">
        <v>475</v>
      </c>
      <c r="I15" s="34">
        <f t="shared" si="0"/>
        <v>-300</v>
      </c>
      <c r="J15" s="352">
        <f>IFERROR(Table311[[#This Row],[Planned Quotas]]/Table311[[#This Row],[Fleet Quota Need]],100%)</f>
        <v>0.36842105263157893</v>
      </c>
      <c r="K15" s="35">
        <f>SUMIF(Table2[Course Title],Table311[[#This Row],[Courses - Planned vs Need (Active Courses)]],Table2[Graduates])</f>
        <v>0</v>
      </c>
      <c r="L15" s="60">
        <f>SUMIF(Table2[Course Title],Table311[[#This Row],[Courses - Planned vs Need (Active Courses)]],Table2[Registered])</f>
        <v>0</v>
      </c>
      <c r="M15" s="60">
        <f>SUMIF(Table2[Course Title],Table311[[#This Row],[Courses - Planned vs Need (Active Courses)]],Table2[Waitlisted])</f>
        <v>0</v>
      </c>
      <c r="N15" s="60">
        <f>SUMIF(Table2[Course Title],Table311[[#This Row],[Courses - Planned vs Need (Active Courses)]],Table2[Walk-ins])</f>
        <v>0</v>
      </c>
      <c r="O15" s="36">
        <f>SUMIF(Table2[Course Title],Table311[[#This Row],[Courses - Planned vs Need (Active Courses)]],Table2[No Shows])</f>
        <v>0</v>
      </c>
      <c r="P15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15" s="37">
        <f>ROUNDDOWN(Table311[[#This Row],[To date quotas unused (Open quotas+ no shows)]]/Table311[[#This Row],[Quota per Offering]],0)</f>
        <v>0</v>
      </c>
      <c r="R15" s="36">
        <f t="shared" si="1"/>
        <v>175</v>
      </c>
      <c r="S15" s="37">
        <f ca="1">COUNTIFS(Table2[Course Title],Table311[[#This Row],[Courses - Planned vs Need (Active Courses)]],Table2[Roster Status],"1",Table2[Remaining Courses],"0")</f>
        <v>0</v>
      </c>
      <c r="T15" s="37">
        <f ca="1">COUNTIFS(Table2[Course Title],Table311[[#This Row],[Courses - Planned vs Need (Active Courses)]],Table2[Remaining Courses],"1")</f>
        <v>5</v>
      </c>
      <c r="U15" s="39">
        <f t="shared" si="2"/>
        <v>0</v>
      </c>
      <c r="V15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15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15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15" s="37">
        <f t="shared" ca="1" si="3"/>
        <v>175</v>
      </c>
      <c r="Z15" s="37">
        <f>Table311[[#This Row],[Fleet Quota Need]]-Table311[[#This Row],[Total Grads]]</f>
        <v>475</v>
      </c>
      <c r="AA15" s="25"/>
    </row>
    <row r="16" spans="2:27" ht="15.75" x14ac:dyDescent="0.25">
      <c r="B16" s="48" t="s">
        <v>48</v>
      </c>
      <c r="C16" s="34"/>
      <c r="D16" s="34" t="s">
        <v>237</v>
      </c>
      <c r="E16" s="34">
        <f>COUNTIF(Table2[Course Title],Table311[[#This Row],[Courses - Planned vs Need (Active Courses)]])</f>
        <v>3</v>
      </c>
      <c r="F16" s="34">
        <v>25</v>
      </c>
      <c r="G16" s="34">
        <f>Table311[[#This Row],[Course Offerings]]*Table311[[#This Row],[Quota per Offering]]</f>
        <v>75</v>
      </c>
      <c r="H16" s="140">
        <v>185</v>
      </c>
      <c r="I16" s="34">
        <f t="shared" si="0"/>
        <v>-110</v>
      </c>
      <c r="J16" s="352">
        <f>IFERROR(Table311[[#This Row],[Planned Quotas]]/Table311[[#This Row],[Fleet Quota Need]],100%)</f>
        <v>0.40540540540540543</v>
      </c>
      <c r="K16" s="35">
        <f>SUMIF(Table2[Course Title],Table311[[#This Row],[Courses - Planned vs Need (Active Courses)]],Table2[Graduates])</f>
        <v>0</v>
      </c>
      <c r="L16" s="60">
        <f>SUMIF(Table2[Course Title],Table311[[#This Row],[Courses - Planned vs Need (Active Courses)]],Table2[Registered])</f>
        <v>0</v>
      </c>
      <c r="M16" s="60">
        <f>SUMIF(Table2[Course Title],Table311[[#This Row],[Courses - Planned vs Need (Active Courses)]],Table2[Waitlisted])</f>
        <v>0</v>
      </c>
      <c r="N16" s="60">
        <f>SUMIF(Table2[Course Title],Table311[[#This Row],[Courses - Planned vs Need (Active Courses)]],Table2[Walk-ins])</f>
        <v>0</v>
      </c>
      <c r="O16" s="36">
        <f>SUMIF(Table2[Course Title],Table311[[#This Row],[Courses - Planned vs Need (Active Courses)]],Table2[No Shows])</f>
        <v>0</v>
      </c>
      <c r="P16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16" s="37">
        <f>ROUNDDOWN(Table311[[#This Row],[To date quotas unused (Open quotas+ no shows)]]/Table311[[#This Row],[Quota per Offering]],0)</f>
        <v>0</v>
      </c>
      <c r="R16" s="36">
        <f t="shared" si="1"/>
        <v>75</v>
      </c>
      <c r="S16" s="37">
        <f ca="1">COUNTIFS(Table2[Course Title],Table311[[#This Row],[Courses - Planned vs Need (Active Courses)]],Table2[Roster Status],"1",Table2[Remaining Courses],"0")</f>
        <v>0</v>
      </c>
      <c r="T16" s="37">
        <f ca="1">COUNTIFS(Table2[Course Title],Table311[[#This Row],[Courses - Planned vs Need (Active Courses)]],Table2[Remaining Courses],"1")</f>
        <v>3</v>
      </c>
      <c r="U16" s="39">
        <f t="shared" si="2"/>
        <v>0</v>
      </c>
      <c r="V16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16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16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16" s="37">
        <f t="shared" ca="1" si="3"/>
        <v>75</v>
      </c>
      <c r="Z16" s="37">
        <f>Table311[[#This Row],[Fleet Quota Need]]-Table311[[#This Row],[Total Grads]]</f>
        <v>185</v>
      </c>
      <c r="AA16" s="25"/>
    </row>
    <row r="17" spans="2:27" ht="15.75" x14ac:dyDescent="0.25">
      <c r="B17" s="53" t="s">
        <v>17</v>
      </c>
      <c r="C17" s="34" t="s">
        <v>18</v>
      </c>
      <c r="D17" s="34" t="s">
        <v>228</v>
      </c>
      <c r="E17" s="34">
        <f>COUNTIF(Table2[Course Title],Table311[[#This Row],[Courses - Planned vs Need (Active Courses)]])</f>
        <v>32</v>
      </c>
      <c r="F17" s="34">
        <v>40</v>
      </c>
      <c r="G17" s="34">
        <f>Table311[[#This Row],[Course Offerings]]*Table311[[#This Row],[Quota per Offering]]</f>
        <v>1280</v>
      </c>
      <c r="H17" s="140">
        <v>1008</v>
      </c>
      <c r="I17" s="34">
        <f t="shared" si="0"/>
        <v>272</v>
      </c>
      <c r="J17" s="352">
        <f>IFERROR(Table311[[#This Row],[Planned Quotas]]/Table311[[#This Row],[Fleet Quota Need]],100%)</f>
        <v>1.2698412698412698</v>
      </c>
      <c r="K17" s="35">
        <f>SUMIF(Table2[Course Title],Table311[[#This Row],[Courses - Planned vs Need (Active Courses)]],Table2[Graduates])</f>
        <v>0</v>
      </c>
      <c r="L17" s="60">
        <f>SUMIF(Table2[Course Title],Table311[[#This Row],[Courses - Planned vs Need (Active Courses)]],Table2[Registered])</f>
        <v>0</v>
      </c>
      <c r="M17" s="60">
        <f>SUMIF(Table2[Course Title],Table311[[#This Row],[Courses - Planned vs Need (Active Courses)]],Table2[Waitlisted])</f>
        <v>0</v>
      </c>
      <c r="N17" s="60">
        <f>SUMIF(Table2[Course Title],Table311[[#This Row],[Courses - Planned vs Need (Active Courses)]],Table2[Walk-ins])</f>
        <v>0</v>
      </c>
      <c r="O17" s="36">
        <f>SUMIF(Table2[Course Title],Table311[[#This Row],[Courses - Planned vs Need (Active Courses)]],Table2[No Shows])</f>
        <v>0</v>
      </c>
      <c r="P17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1000</v>
      </c>
      <c r="Q17" s="37">
        <f>ROUNDDOWN(Table311[[#This Row],[To date quotas unused (Open quotas+ no shows)]]/Table311[[#This Row],[Quota per Offering]],0)</f>
        <v>25</v>
      </c>
      <c r="R17" s="36">
        <f t="shared" si="1"/>
        <v>1280</v>
      </c>
      <c r="S17" s="37">
        <f>COUNTIFS(Table2[Course Title],Table311[[#This Row],[Courses - Planned vs Need (Active Courses)]],Table2[Roster Status],"1",Table2[Remaining Courses],"0")</f>
        <v>0</v>
      </c>
      <c r="T17" s="37">
        <f>COUNTIFS(Table2[Course Title],Table311[[#This Row],[Courses - Planned vs Need (Active Courses)]],Table2[Remaining Courses],"1")</f>
        <v>0</v>
      </c>
      <c r="U17" s="39">
        <f t="shared" si="2"/>
        <v>0</v>
      </c>
      <c r="V17" s="39">
        <f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0.21875</v>
      </c>
      <c r="W17" s="47">
        <f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1</v>
      </c>
      <c r="X17" s="60">
        <f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17" s="37">
        <f t="shared" si="3"/>
        <v>0</v>
      </c>
      <c r="Z17" s="37">
        <f>Table311[[#This Row],[Fleet Quota Need]]-Table311[[#This Row],[Total Grads]]</f>
        <v>1008</v>
      </c>
      <c r="AA17" s="25"/>
    </row>
    <row r="18" spans="2:27" ht="31.5" x14ac:dyDescent="0.25">
      <c r="B18" s="53" t="s">
        <v>28</v>
      </c>
      <c r="C18" s="34" t="s">
        <v>18</v>
      </c>
      <c r="D18" s="34" t="s">
        <v>228</v>
      </c>
      <c r="E18" s="34">
        <f>COUNTIF(Table2[Course Title],Table311[[#This Row],[Courses - Planned vs Need (Active Courses)]])</f>
        <v>22</v>
      </c>
      <c r="F18" s="34">
        <v>40</v>
      </c>
      <c r="G18" s="34">
        <f>Table311[[#This Row],[Course Offerings]]*Table311[[#This Row],[Quota per Offering]]</f>
        <v>880</v>
      </c>
      <c r="H18" s="140">
        <v>1204</v>
      </c>
      <c r="I18" s="34">
        <f t="shared" si="0"/>
        <v>-324</v>
      </c>
      <c r="J18" s="352">
        <f>IFERROR(Table311[[#This Row],[Planned Quotas]]/Table311[[#This Row],[Fleet Quota Need]],100%)</f>
        <v>0.73089700996677742</v>
      </c>
      <c r="K18" s="35">
        <f>SUMIF(Table2[Course Title],Table311[[#This Row],[Courses - Planned vs Need (Active Courses)]],Table2[Graduates])</f>
        <v>0</v>
      </c>
      <c r="L18" s="60">
        <f>SUMIF(Table2[Course Title],Table311[[#This Row],[Courses - Planned vs Need (Active Courses)]],Table2[Registered])</f>
        <v>0</v>
      </c>
      <c r="M18" s="60">
        <f>SUMIF(Table2[Course Title],Table311[[#This Row],[Courses - Planned vs Need (Active Courses)]],Table2[Waitlisted])</f>
        <v>0</v>
      </c>
      <c r="N18" s="60">
        <f>SUMIF(Table2[Course Title],Table311[[#This Row],[Courses - Planned vs Need (Active Courses)]],Table2[Walk-ins])</f>
        <v>0</v>
      </c>
      <c r="O18" s="36">
        <f>SUMIF(Table2[Course Title],Table311[[#This Row],[Courses - Planned vs Need (Active Courses)]],Table2[No Shows])</f>
        <v>0</v>
      </c>
      <c r="P18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18" s="37">
        <f>ROUNDDOWN(Table311[[#This Row],[To date quotas unused (Open quotas+ no shows)]]/Table311[[#This Row],[Quota per Offering]],0)</f>
        <v>0</v>
      </c>
      <c r="R18" s="36">
        <f t="shared" si="1"/>
        <v>880</v>
      </c>
      <c r="S18" s="37">
        <f>COUNTIFS(Table2[Course Title],Table311[[#This Row],[Courses - Planned vs Need (Active Courses)]],Table2[Roster Status],"1",Table2[Remaining Courses],"0")</f>
        <v>0</v>
      </c>
      <c r="T18" s="37">
        <f>COUNTIFS(Table2[Course Title],Table311[[#This Row],[Courses - Planned vs Need (Active Courses)]],Table2[Remaining Courses],"1")</f>
        <v>22</v>
      </c>
      <c r="U18" s="39">
        <f t="shared" si="2"/>
        <v>0</v>
      </c>
      <c r="V18" s="39">
        <f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18" s="47">
        <f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18" s="60">
        <f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18" s="37">
        <f t="shared" si="3"/>
        <v>880</v>
      </c>
      <c r="Z18" s="37">
        <f>Table311[[#This Row],[Fleet Quota Need]]-Table311[[#This Row],[Total Grads]]</f>
        <v>1204</v>
      </c>
      <c r="AA18" s="25"/>
    </row>
    <row r="19" spans="2:27" ht="31.5" x14ac:dyDescent="0.25">
      <c r="B19" s="48" t="s">
        <v>57</v>
      </c>
      <c r="C19" s="34"/>
      <c r="D19" s="34" t="s">
        <v>263</v>
      </c>
      <c r="E19" s="34">
        <f>COUNTIF(Table2[Course Title],Table311[[#This Row],[Courses - Planned vs Need (Active Courses)]])</f>
        <v>21</v>
      </c>
      <c r="F19" s="34">
        <v>45</v>
      </c>
      <c r="G19" s="34">
        <f>Table311[[#This Row],[Course Offerings]]*Table311[[#This Row],[Quota per Offering]]</f>
        <v>945</v>
      </c>
      <c r="H19" s="140">
        <v>1231</v>
      </c>
      <c r="I19" s="34">
        <f t="shared" si="0"/>
        <v>-286</v>
      </c>
      <c r="J19" s="352">
        <f>IFERROR(Table311[[#This Row],[Planned Quotas]]/Table311[[#This Row],[Fleet Quota Need]],100%)</f>
        <v>0.76766856214459789</v>
      </c>
      <c r="K19" s="35">
        <f>SUMIF(Table2[Course Title],Table311[[#This Row],[Courses - Planned vs Need (Active Courses)]],Table2[Graduates])</f>
        <v>0</v>
      </c>
      <c r="L19" s="60">
        <f>SUMIF(Table2[Course Title],Table311[[#This Row],[Courses - Planned vs Need (Active Courses)]],Table2[Registered])</f>
        <v>0</v>
      </c>
      <c r="M19" s="60">
        <f>SUMIF(Table2[Course Title],Table311[[#This Row],[Courses - Planned vs Need (Active Courses)]],Table2[Waitlisted])</f>
        <v>0</v>
      </c>
      <c r="N19" s="60">
        <f>SUMIF(Table2[Course Title],Table311[[#This Row],[Courses - Planned vs Need (Active Courses)]],Table2[Walk-ins])</f>
        <v>0</v>
      </c>
      <c r="O19" s="36">
        <f>SUMIF(Table2[Course Title],Table311[[#This Row],[Courses - Planned vs Need (Active Courses)]],Table2[No Shows])</f>
        <v>0</v>
      </c>
      <c r="P19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19" s="37">
        <f>ROUNDDOWN(Table311[[#This Row],[To date quotas unused (Open quotas+ no shows)]]/Table311[[#This Row],[Quota per Offering]],0)</f>
        <v>0</v>
      </c>
      <c r="R19" s="36">
        <f t="shared" si="1"/>
        <v>945</v>
      </c>
      <c r="S19" s="37">
        <f ca="1">COUNTIFS(Table2[Course Title],Table311[[#This Row],[Courses - Planned vs Need (Active Courses)]],Table2[Roster Status],"1",Table2[Remaining Courses],"0")</f>
        <v>0</v>
      </c>
      <c r="T19" s="37">
        <f ca="1">COUNTIFS(Table2[Course Title],Table311[[#This Row],[Courses - Planned vs Need (Active Courses)]],Table2[Remaining Courses],"1")</f>
        <v>21</v>
      </c>
      <c r="U19" s="39">
        <f t="shared" si="2"/>
        <v>0</v>
      </c>
      <c r="V19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19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19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19" s="37">
        <f t="shared" ca="1" si="3"/>
        <v>945</v>
      </c>
      <c r="Z19" s="37">
        <f>Table311[[#This Row],[Fleet Quota Need]]-Table311[[#This Row],[Total Grads]]</f>
        <v>1231</v>
      </c>
      <c r="AA19" s="25"/>
    </row>
    <row r="20" spans="2:27" ht="15.75" x14ac:dyDescent="0.25">
      <c r="B20" s="53" t="s">
        <v>58</v>
      </c>
      <c r="C20" s="34" t="s">
        <v>18</v>
      </c>
      <c r="D20" s="34" t="s">
        <v>263</v>
      </c>
      <c r="E20" s="34">
        <f>COUNTIF(Table2[Course Title],Table311[[#This Row],[Courses - Planned vs Need (Active Courses)]])</f>
        <v>0</v>
      </c>
      <c r="F20" s="34">
        <v>30</v>
      </c>
      <c r="G20" s="34">
        <f>Table311[[#This Row],[Course Offerings]]*Table311[[#This Row],[Quota per Offering]]</f>
        <v>0</v>
      </c>
      <c r="H20" s="140">
        <v>822</v>
      </c>
      <c r="I20" s="34">
        <f t="shared" si="0"/>
        <v>-822</v>
      </c>
      <c r="J20" s="352">
        <f>IFERROR(Table311[[#This Row],[Planned Quotas]]/Table311[[#This Row],[Fleet Quota Need]],100%)</f>
        <v>0</v>
      </c>
      <c r="K20" s="35">
        <f>SUMIF(Table2[Course Title],Table311[[#This Row],[Courses - Planned vs Need (Active Courses)]],Table2[Graduates])</f>
        <v>0</v>
      </c>
      <c r="L20" s="60">
        <f>SUMIF(Table2[Course Title],Table311[[#This Row],[Courses - Planned vs Need (Active Courses)]],Table2[Registered])</f>
        <v>0</v>
      </c>
      <c r="M20" s="60">
        <f>SUMIF(Table2[Course Title],Table311[[#This Row],[Courses - Planned vs Need (Active Courses)]],Table2[Waitlisted])</f>
        <v>0</v>
      </c>
      <c r="N20" s="60">
        <f>SUMIF(Table2[Course Title],Table311[[#This Row],[Courses - Planned vs Need (Active Courses)]],Table2[Walk-ins])</f>
        <v>0</v>
      </c>
      <c r="O20" s="36">
        <f>SUMIF(Table2[Course Title],Table311[[#This Row],[Courses - Planned vs Need (Active Courses)]],Table2[No Shows])</f>
        <v>0</v>
      </c>
      <c r="P20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0" s="37">
        <f>ROUNDDOWN(Table311[[#This Row],[To date quotas unused (Open quotas+ no shows)]]/Table311[[#This Row],[Quota per Offering]],0)</f>
        <v>0</v>
      </c>
      <c r="R20" s="36">
        <f t="shared" si="1"/>
        <v>0</v>
      </c>
      <c r="S20" s="37">
        <f>COUNTIFS(Table2[Course Title],Table311[[#This Row],[Courses - Planned vs Need (Active Courses)]],Table2[Roster Status],"1",Table2[Remaining Courses],"0")</f>
        <v>0</v>
      </c>
      <c r="T20" s="37">
        <f>COUNTIFS(Table2[Course Title],Table311[[#This Row],[Courses - Planned vs Need (Active Courses)]],Table2[Remaining Courses],"1")</f>
        <v>0</v>
      </c>
      <c r="U20" s="39">
        <f t="shared" si="2"/>
        <v>0</v>
      </c>
      <c r="V20" s="39">
        <f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0" s="47">
        <f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0" s="60">
        <f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20" s="37">
        <f t="shared" si="3"/>
        <v>0</v>
      </c>
      <c r="Z20" s="37">
        <f>Table311[[#This Row],[Fleet Quota Need]]-Table311[[#This Row],[Total Grads]]</f>
        <v>822</v>
      </c>
      <c r="AA20" s="25"/>
    </row>
    <row r="21" spans="2:27" ht="31.5" x14ac:dyDescent="0.25">
      <c r="B21" s="48" t="s">
        <v>38</v>
      </c>
      <c r="C21" s="34"/>
      <c r="D21" s="34" t="s">
        <v>263</v>
      </c>
      <c r="E21" s="34">
        <f>COUNTIF(Table2[Course Title],Table311[[#This Row],[Courses - Planned vs Need (Active Courses)]])</f>
        <v>17</v>
      </c>
      <c r="F21" s="34">
        <v>45</v>
      </c>
      <c r="G21" s="34">
        <f>Table311[[#This Row],[Course Offerings]]*Table311[[#This Row],[Quota per Offering]]</f>
        <v>765</v>
      </c>
      <c r="H21" s="140">
        <v>900</v>
      </c>
      <c r="I21" s="34">
        <f t="shared" si="0"/>
        <v>-135</v>
      </c>
      <c r="J21" s="352">
        <f>IFERROR(Table311[[#This Row],[Planned Quotas]]/Table311[[#This Row],[Fleet Quota Need]],100%)</f>
        <v>0.85</v>
      </c>
      <c r="K21" s="35">
        <f>SUMIF(Table2[Course Title],Table311[[#This Row],[Courses - Planned vs Need (Active Courses)]],Table2[Graduates])</f>
        <v>0</v>
      </c>
      <c r="L21" s="60">
        <f>SUMIF(Table2[Course Title],Table311[[#This Row],[Courses - Planned vs Need (Active Courses)]],Table2[Registered])</f>
        <v>0</v>
      </c>
      <c r="M21" s="60">
        <f>SUMIF(Table2[Course Title],Table311[[#This Row],[Courses - Planned vs Need (Active Courses)]],Table2[Waitlisted])</f>
        <v>0</v>
      </c>
      <c r="N21" s="60">
        <f>SUMIF(Table2[Course Title],Table311[[#This Row],[Courses - Planned vs Need (Active Courses)]],Table2[Walk-ins])</f>
        <v>0</v>
      </c>
      <c r="O21" s="36">
        <f>SUMIF(Table2[Course Title],Table311[[#This Row],[Courses - Planned vs Need (Active Courses)]],Table2[No Shows])</f>
        <v>0</v>
      </c>
      <c r="P21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1" s="37">
        <f>ROUNDDOWN(Table311[[#This Row],[To date quotas unused (Open quotas+ no shows)]]/Table311[[#This Row],[Quota per Offering]],0)</f>
        <v>0</v>
      </c>
      <c r="R21" s="36">
        <f t="shared" si="1"/>
        <v>765</v>
      </c>
      <c r="S21" s="37">
        <f ca="1">COUNTIFS(Table2[Course Title],Table311[[#This Row],[Courses - Planned vs Need (Active Courses)]],Table2[Roster Status],"1",Table2[Remaining Courses],"0")</f>
        <v>0</v>
      </c>
      <c r="T21" s="37">
        <f ca="1">COUNTIFS(Table2[Course Title],Table311[[#This Row],[Courses - Planned vs Need (Active Courses)]],Table2[Remaining Courses],"1")</f>
        <v>17</v>
      </c>
      <c r="U21" s="39">
        <f t="shared" si="2"/>
        <v>0</v>
      </c>
      <c r="V21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1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1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21" s="37">
        <f t="shared" ca="1" si="3"/>
        <v>765</v>
      </c>
      <c r="Z21" s="37">
        <f>Table311[[#This Row],[Fleet Quota Need]]-Table311[[#This Row],[Total Grads]]</f>
        <v>900</v>
      </c>
      <c r="AA21" s="25"/>
    </row>
    <row r="22" spans="2:27" ht="47.25" x14ac:dyDescent="0.25">
      <c r="B22" s="48" t="s">
        <v>120</v>
      </c>
      <c r="C22" s="34"/>
      <c r="D22" s="34" t="s">
        <v>237</v>
      </c>
      <c r="E22" s="34">
        <f>COUNTIF(Table2[Course Title],Table311[[#This Row],[Courses - Planned vs Need (Active Courses)]])</f>
        <v>20</v>
      </c>
      <c r="F22" s="34">
        <v>45</v>
      </c>
      <c r="G22" s="34">
        <f>Table311[[#This Row],[Course Offerings]]*Table311[[#This Row],[Quota per Offering]]</f>
        <v>900</v>
      </c>
      <c r="H22" s="140">
        <v>893</v>
      </c>
      <c r="I22" s="34">
        <f t="shared" si="0"/>
        <v>7</v>
      </c>
      <c r="J22" s="352">
        <f>IFERROR(Table311[[#This Row],[Planned Quotas]]/Table311[[#This Row],[Fleet Quota Need]],100%)</f>
        <v>1.0078387458006719</v>
      </c>
      <c r="K22" s="35">
        <f>SUMIF(Table2[Course Title],Table311[[#This Row],[Courses - Planned vs Need (Active Courses)]],Table2[Graduates])</f>
        <v>0</v>
      </c>
      <c r="L22" s="60">
        <f>SUMIF(Table2[Course Title],Table311[[#This Row],[Courses - Planned vs Need (Active Courses)]],Table2[Registered])</f>
        <v>0</v>
      </c>
      <c r="M22" s="60">
        <f>SUMIF(Table2[Course Title],Table311[[#This Row],[Courses - Planned vs Need (Active Courses)]],Table2[Waitlisted])</f>
        <v>0</v>
      </c>
      <c r="N22" s="60">
        <f>SUMIF(Table2[Course Title],Table311[[#This Row],[Courses - Planned vs Need (Active Courses)]],Table2[Walk-ins])</f>
        <v>0</v>
      </c>
      <c r="O22" s="36">
        <f>SUMIF(Table2[Course Title],Table311[[#This Row],[Courses - Planned vs Need (Active Courses)]],Table2[No Shows])</f>
        <v>0</v>
      </c>
      <c r="P22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2" s="37">
        <f>ROUNDDOWN(Table311[[#This Row],[To date quotas unused (Open quotas+ no shows)]]/Table311[[#This Row],[Quota per Offering]],0)</f>
        <v>0</v>
      </c>
      <c r="R22" s="36">
        <f t="shared" si="1"/>
        <v>900</v>
      </c>
      <c r="S22" s="37">
        <f ca="1">COUNTIFS(Table2[Course Title],Table311[[#This Row],[Courses - Planned vs Need (Active Courses)]],Table2[Roster Status],"1",Table2[Remaining Courses],"0")</f>
        <v>0</v>
      </c>
      <c r="T22" s="37">
        <f ca="1">COUNTIFS(Table2[Course Title],Table311[[#This Row],[Courses - Planned vs Need (Active Courses)]],Table2[Remaining Courses],"1")</f>
        <v>20</v>
      </c>
      <c r="U22" s="39">
        <f t="shared" si="2"/>
        <v>0</v>
      </c>
      <c r="V22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2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2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22" s="37">
        <f t="shared" ca="1" si="3"/>
        <v>900</v>
      </c>
      <c r="Z22" s="37">
        <f>Table311[[#This Row],[Fleet Quota Need]]-Table311[[#This Row],[Total Grads]]</f>
        <v>893</v>
      </c>
      <c r="AA22" s="25"/>
    </row>
    <row r="23" spans="2:27" ht="31.5" x14ac:dyDescent="0.25">
      <c r="B23" s="53" t="s">
        <v>29</v>
      </c>
      <c r="C23" s="34" t="s">
        <v>18</v>
      </c>
      <c r="D23" s="34" t="s">
        <v>228</v>
      </c>
      <c r="E23" s="34">
        <f>COUNTIF(Table2[Course Title],Table311[[#This Row],[Courses - Planned vs Need (Active Courses)]])</f>
        <v>36</v>
      </c>
      <c r="F23" s="34">
        <v>25</v>
      </c>
      <c r="G23" s="34">
        <f>Table311[[#This Row],[Course Offerings]]*Table311[[#This Row],[Quota per Offering]]</f>
        <v>900</v>
      </c>
      <c r="H23" s="140">
        <v>1279</v>
      </c>
      <c r="I23" s="34">
        <f t="shared" si="0"/>
        <v>-379</v>
      </c>
      <c r="J23" s="352">
        <f>IFERROR(Table311[[#This Row],[Planned Quotas]]/Table311[[#This Row],[Fleet Quota Need]],100%)</f>
        <v>0.7036747458952306</v>
      </c>
      <c r="K23" s="35">
        <f>SUMIF(Table2[Course Title],Table311[[#This Row],[Courses - Planned vs Need (Active Courses)]],Table2[Graduates])</f>
        <v>0</v>
      </c>
      <c r="L23" s="60">
        <f>SUMIF(Table2[Course Title],Table311[[#This Row],[Courses - Planned vs Need (Active Courses)]],Table2[Registered])</f>
        <v>0</v>
      </c>
      <c r="M23" s="60">
        <f>SUMIF(Table2[Course Title],Table311[[#This Row],[Courses - Planned vs Need (Active Courses)]],Table2[Waitlisted])</f>
        <v>0</v>
      </c>
      <c r="N23" s="60">
        <f>SUMIF(Table2[Course Title],Table311[[#This Row],[Courses - Planned vs Need (Active Courses)]],Table2[Walk-ins])</f>
        <v>0</v>
      </c>
      <c r="O23" s="36">
        <f>SUMIF(Table2[Course Title],Table311[[#This Row],[Courses - Planned vs Need (Active Courses)]],Table2[No Shows])</f>
        <v>0</v>
      </c>
      <c r="P23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3" s="37">
        <f>ROUNDDOWN(Table311[[#This Row],[To date quotas unused (Open quotas+ no shows)]]/Table311[[#This Row],[Quota per Offering]],0)</f>
        <v>0</v>
      </c>
      <c r="R23" s="36">
        <f t="shared" si="1"/>
        <v>900</v>
      </c>
      <c r="S23" s="37">
        <f ca="1">COUNTIFS(Table2[Course Title],Table311[[#This Row],[Courses - Planned vs Need (Active Courses)]],Table2[Roster Status],"1",Table2[Remaining Courses],"0")</f>
        <v>0</v>
      </c>
      <c r="T23" s="37">
        <f ca="1">COUNTIFS(Table2[Course Title],Table311[[#This Row],[Courses - Planned vs Need (Active Courses)]],Table2[Remaining Courses],"1")</f>
        <v>36</v>
      </c>
      <c r="U23" s="39">
        <f t="shared" si="2"/>
        <v>0</v>
      </c>
      <c r="V23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3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3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23" s="37">
        <f t="shared" ca="1" si="3"/>
        <v>900</v>
      </c>
      <c r="Z23" s="37">
        <f>Table311[[#This Row],[Fleet Quota Need]]-Table311[[#This Row],[Total Grads]]</f>
        <v>1279</v>
      </c>
      <c r="AA23" s="25"/>
    </row>
    <row r="24" spans="2:27" ht="47.25" x14ac:dyDescent="0.25">
      <c r="B24" s="53" t="s">
        <v>31</v>
      </c>
      <c r="C24" s="34" t="s">
        <v>18</v>
      </c>
      <c r="D24" s="34" t="s">
        <v>228</v>
      </c>
      <c r="E24" s="34">
        <f>COUNTIF(Table2[Course Title],Table311[[#This Row],[Courses - Planned vs Need (Active Courses)]])</f>
        <v>25</v>
      </c>
      <c r="F24" s="34">
        <v>30</v>
      </c>
      <c r="G24" s="34">
        <f>Table311[[#This Row],[Course Offerings]]*Table311[[#This Row],[Quota per Offering]]</f>
        <v>750</v>
      </c>
      <c r="H24" s="140">
        <v>1501</v>
      </c>
      <c r="I24" s="34">
        <f t="shared" si="0"/>
        <v>-751</v>
      </c>
      <c r="J24" s="352">
        <f>IFERROR(Table311[[#This Row],[Planned Quotas]]/Table311[[#This Row],[Fleet Quota Need]],100%)</f>
        <v>0.49966688874083942</v>
      </c>
      <c r="K24" s="35">
        <f>SUMIF(Table2[Course Title],Table311[[#This Row],[Courses - Planned vs Need (Active Courses)]],Table2[Graduates])</f>
        <v>0</v>
      </c>
      <c r="L24" s="60">
        <f>SUMIF(Table2[Course Title],Table311[[#This Row],[Courses - Planned vs Need (Active Courses)]],Table2[Registered])</f>
        <v>0</v>
      </c>
      <c r="M24" s="60">
        <f>SUMIF(Table2[Course Title],Table311[[#This Row],[Courses - Planned vs Need (Active Courses)]],Table2[Waitlisted])</f>
        <v>0</v>
      </c>
      <c r="N24" s="60">
        <f>SUMIF(Table2[Course Title],Table311[[#This Row],[Courses - Planned vs Need (Active Courses)]],Table2[Walk-ins])</f>
        <v>0</v>
      </c>
      <c r="O24" s="36">
        <f>SUMIF(Table2[Course Title],Table311[[#This Row],[Courses - Planned vs Need (Active Courses)]],Table2[No Shows])</f>
        <v>0</v>
      </c>
      <c r="P24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4" s="37">
        <f>ROUNDDOWN(Table311[[#This Row],[To date quotas unused (Open quotas+ no shows)]]/Table311[[#This Row],[Quota per Offering]],0)</f>
        <v>0</v>
      </c>
      <c r="R24" s="36">
        <f t="shared" si="1"/>
        <v>750</v>
      </c>
      <c r="S24" s="37">
        <f ca="1">COUNTIFS(Table2[Course Title],Table311[[#This Row],[Courses - Planned vs Need (Active Courses)]],Table2[Roster Status],"1",Table2[Remaining Courses],"0")</f>
        <v>0</v>
      </c>
      <c r="T24" s="37">
        <f ca="1">COUNTIFS(Table2[Course Title],Table311[[#This Row],[Courses - Planned vs Need (Active Courses)]],Table2[Remaining Courses],"1")</f>
        <v>25</v>
      </c>
      <c r="U24" s="39">
        <f t="shared" si="2"/>
        <v>0</v>
      </c>
      <c r="V24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4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4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24" s="37">
        <f t="shared" ca="1" si="3"/>
        <v>750</v>
      </c>
      <c r="Z24" s="37">
        <f>Table311[[#This Row],[Fleet Quota Need]]-Table311[[#This Row],[Total Grads]]</f>
        <v>1501</v>
      </c>
      <c r="AA24" s="25"/>
    </row>
    <row r="25" spans="2:27" ht="31.5" x14ac:dyDescent="0.25">
      <c r="B25" s="53" t="s">
        <v>32</v>
      </c>
      <c r="C25" s="34" t="s">
        <v>18</v>
      </c>
      <c r="D25" s="34" t="s">
        <v>228</v>
      </c>
      <c r="E25" s="34">
        <f>COUNTIF(Table2[Course Title],Table311[[#This Row],[Courses - Planned vs Need (Active Courses)]])</f>
        <v>0</v>
      </c>
      <c r="F25" s="34">
        <v>30</v>
      </c>
      <c r="G25" s="34">
        <f>Table311[[#This Row],[Course Offerings]]*Table311[[#This Row],[Quota per Offering]]</f>
        <v>0</v>
      </c>
      <c r="H25" s="140">
        <v>658</v>
      </c>
      <c r="I25" s="34">
        <f t="shared" si="0"/>
        <v>-658</v>
      </c>
      <c r="J25" s="352">
        <f>IFERROR(Table311[[#This Row],[Planned Quotas]]/Table311[[#This Row],[Fleet Quota Need]],100%)</f>
        <v>0</v>
      </c>
      <c r="K25" s="35">
        <f>SUMIF(Table2[Course Title],Table311[[#This Row],[Courses - Planned vs Need (Active Courses)]],Table2[Graduates])</f>
        <v>0</v>
      </c>
      <c r="L25" s="60">
        <f>SUMIF(Table2[Course Title],Table311[[#This Row],[Courses - Planned vs Need (Active Courses)]],Table2[Registered])</f>
        <v>0</v>
      </c>
      <c r="M25" s="60">
        <f>SUMIF(Table2[Course Title],Table311[[#This Row],[Courses - Planned vs Need (Active Courses)]],Table2[Waitlisted])</f>
        <v>0</v>
      </c>
      <c r="N25" s="60">
        <f>SUMIF(Table2[Course Title],Table311[[#This Row],[Courses - Planned vs Need (Active Courses)]],Table2[Walk-ins])</f>
        <v>0</v>
      </c>
      <c r="O25" s="36">
        <f>SUMIF(Table2[Course Title],Table311[[#This Row],[Courses - Planned vs Need (Active Courses)]],Table2[No Shows])</f>
        <v>0</v>
      </c>
      <c r="P25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5" s="37">
        <f>ROUNDDOWN(Table311[[#This Row],[To date quotas unused (Open quotas+ no shows)]]/Table311[[#This Row],[Quota per Offering]],0)</f>
        <v>0</v>
      </c>
      <c r="R25" s="36">
        <f t="shared" si="1"/>
        <v>0</v>
      </c>
      <c r="S25" s="37">
        <f>COUNTIFS(Table2[Course Title],Table311[[#This Row],[Courses - Planned vs Need (Active Courses)]],Table2[Roster Status],"1",Table2[Remaining Courses],"0")</f>
        <v>0</v>
      </c>
      <c r="T25" s="37">
        <f>COUNTIFS(Table2[Course Title],Table311[[#This Row],[Courses - Planned vs Need (Active Courses)]],Table2[Remaining Courses],"1")</f>
        <v>0</v>
      </c>
      <c r="U25" s="39">
        <f t="shared" si="2"/>
        <v>0</v>
      </c>
      <c r="V25" s="39">
        <f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5" s="47">
        <f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5" s="60">
        <f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25" s="37">
        <f t="shared" si="3"/>
        <v>0</v>
      </c>
      <c r="Z25" s="37">
        <f>Table311[[#This Row],[Fleet Quota Need]]-Table311[[#This Row],[Total Grads]]</f>
        <v>658</v>
      </c>
      <c r="AA25" s="25"/>
    </row>
    <row r="26" spans="2:27" ht="31.5" x14ac:dyDescent="0.25">
      <c r="B26" s="53" t="s">
        <v>33</v>
      </c>
      <c r="C26" s="34" t="s">
        <v>18</v>
      </c>
      <c r="D26" s="34" t="s">
        <v>228</v>
      </c>
      <c r="E26" s="34">
        <f>COUNTIF(Table2[Course Title],Table311[[#This Row],[Courses - Planned vs Need (Active Courses)]])</f>
        <v>0</v>
      </c>
      <c r="F26" s="34">
        <v>30</v>
      </c>
      <c r="G26" s="34">
        <f>Table311[[#This Row],[Course Offerings]]*Table311[[#This Row],[Quota per Offering]]</f>
        <v>0</v>
      </c>
      <c r="H26" s="140">
        <v>744</v>
      </c>
      <c r="I26" s="34">
        <f t="shared" si="0"/>
        <v>-744</v>
      </c>
      <c r="J26" s="352">
        <f>IFERROR(Table311[[#This Row],[Planned Quotas]]/Table311[[#This Row],[Fleet Quota Need]],100%)</f>
        <v>0</v>
      </c>
      <c r="K26" s="35">
        <f>SUMIF(Table2[Course Title],Table311[[#This Row],[Courses - Planned vs Need (Active Courses)]],Table2[Graduates])</f>
        <v>0</v>
      </c>
      <c r="L26" s="60">
        <f>SUMIF(Table2[Course Title],Table311[[#This Row],[Courses - Planned vs Need (Active Courses)]],Table2[Registered])</f>
        <v>0</v>
      </c>
      <c r="M26" s="60">
        <f>SUMIF(Table2[Course Title],Table311[[#This Row],[Courses - Planned vs Need (Active Courses)]],Table2[Waitlisted])</f>
        <v>0</v>
      </c>
      <c r="N26" s="60">
        <f>SUMIF(Table2[Course Title],Table311[[#This Row],[Courses - Planned vs Need (Active Courses)]],Table2[Walk-ins])</f>
        <v>0</v>
      </c>
      <c r="O26" s="36">
        <f>SUMIF(Table2[Course Title],Table311[[#This Row],[Courses - Planned vs Need (Active Courses)]],Table2[No Shows])</f>
        <v>0</v>
      </c>
      <c r="P26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6" s="37">
        <f>ROUNDDOWN(Table311[[#This Row],[To date quotas unused (Open quotas+ no shows)]]/Table311[[#This Row],[Quota per Offering]],0)</f>
        <v>0</v>
      </c>
      <c r="R26" s="36">
        <f t="shared" si="1"/>
        <v>0</v>
      </c>
      <c r="S26" s="37">
        <f>COUNTIFS(Table2[Course Title],Table311[[#This Row],[Courses - Planned vs Need (Active Courses)]],Table2[Roster Status],"1",Table2[Remaining Courses],"0")</f>
        <v>0</v>
      </c>
      <c r="T26" s="37">
        <f>COUNTIFS(Table2[Course Title],Table311[[#This Row],[Courses - Planned vs Need (Active Courses)]],Table2[Remaining Courses],"1")</f>
        <v>0</v>
      </c>
      <c r="U26" s="39">
        <f t="shared" si="2"/>
        <v>0</v>
      </c>
      <c r="V26" s="39">
        <f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6" s="47">
        <f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6" s="60">
        <f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26" s="37">
        <f t="shared" si="3"/>
        <v>0</v>
      </c>
      <c r="Z26" s="37">
        <f>Table311[[#This Row],[Fleet Quota Need]]-Table311[[#This Row],[Total Grads]]</f>
        <v>744</v>
      </c>
      <c r="AA26" s="25"/>
    </row>
    <row r="27" spans="2:27" ht="31.5" x14ac:dyDescent="0.25">
      <c r="B27" s="53" t="s">
        <v>34</v>
      </c>
      <c r="C27" s="34" t="s">
        <v>18</v>
      </c>
      <c r="D27" s="34" t="s">
        <v>228</v>
      </c>
      <c r="E27" s="34">
        <f>COUNTIF(Table2[Course Title],Table311[[#This Row],[Courses - Planned vs Need (Active Courses)]])</f>
        <v>0</v>
      </c>
      <c r="F27" s="34">
        <v>30</v>
      </c>
      <c r="G27" s="34">
        <f>Table311[[#This Row],[Course Offerings]]*Table311[[#This Row],[Quota per Offering]]</f>
        <v>0</v>
      </c>
      <c r="H27" s="140">
        <v>612</v>
      </c>
      <c r="I27" s="34">
        <f t="shared" si="0"/>
        <v>-612</v>
      </c>
      <c r="J27" s="352">
        <f>IFERROR(Table311[[#This Row],[Planned Quotas]]/Table311[[#This Row],[Fleet Quota Need]],100%)</f>
        <v>0</v>
      </c>
      <c r="K27" s="35">
        <f>SUMIF(Table2[Course Title],Table311[[#This Row],[Courses - Planned vs Need (Active Courses)]],Table2[Graduates])</f>
        <v>0</v>
      </c>
      <c r="L27" s="60">
        <f>SUMIF(Table2[Course Title],Table311[[#This Row],[Courses - Planned vs Need (Active Courses)]],Table2[Registered])</f>
        <v>0</v>
      </c>
      <c r="M27" s="60">
        <f>SUMIF(Table2[Course Title],Table311[[#This Row],[Courses - Planned vs Need (Active Courses)]],Table2[Waitlisted])</f>
        <v>0</v>
      </c>
      <c r="N27" s="60">
        <f>SUMIF(Table2[Course Title],Table311[[#This Row],[Courses - Planned vs Need (Active Courses)]],Table2[Walk-ins])</f>
        <v>0</v>
      </c>
      <c r="O27" s="36">
        <f>SUMIF(Table2[Course Title],Table311[[#This Row],[Courses - Planned vs Need (Active Courses)]],Table2[No Shows])</f>
        <v>0</v>
      </c>
      <c r="P27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7" s="37">
        <f>ROUNDDOWN(Table311[[#This Row],[To date quotas unused (Open quotas+ no shows)]]/Table311[[#This Row],[Quota per Offering]],0)</f>
        <v>0</v>
      </c>
      <c r="R27" s="36">
        <f t="shared" si="1"/>
        <v>0</v>
      </c>
      <c r="S27" s="37">
        <f>COUNTIFS(Table2[Course Title],Table311[[#This Row],[Courses - Planned vs Need (Active Courses)]],Table2[Roster Status],"1",Table2[Remaining Courses],"0")</f>
        <v>0</v>
      </c>
      <c r="T27" s="37">
        <f>COUNTIFS(Table2[Course Title],Table311[[#This Row],[Courses - Planned vs Need (Active Courses)]],Table2[Remaining Courses],"1")</f>
        <v>0</v>
      </c>
      <c r="U27" s="39">
        <f t="shared" si="2"/>
        <v>0</v>
      </c>
      <c r="V27" s="39">
        <f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7" s="47">
        <f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7" s="60">
        <f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27" s="37">
        <f t="shared" si="3"/>
        <v>0</v>
      </c>
      <c r="Z27" s="37">
        <f>Table311[[#This Row],[Fleet Quota Need]]-Table311[[#This Row],[Total Grads]]</f>
        <v>612</v>
      </c>
      <c r="AA27" s="25"/>
    </row>
    <row r="28" spans="2:27" ht="15.75" x14ac:dyDescent="0.25">
      <c r="B28" s="48" t="s">
        <v>49</v>
      </c>
      <c r="C28" s="34"/>
      <c r="D28" s="34" t="s">
        <v>237</v>
      </c>
      <c r="E28" s="34">
        <f>COUNTIF(Table2[Course Title],Table311[[#This Row],[Courses - Planned vs Need (Active Courses)]])</f>
        <v>7</v>
      </c>
      <c r="F28" s="34">
        <v>25</v>
      </c>
      <c r="G28" s="34">
        <f>Table311[[#This Row],[Course Offerings]]*Table311[[#This Row],[Quota per Offering]]</f>
        <v>175</v>
      </c>
      <c r="H28" s="140">
        <v>1044</v>
      </c>
      <c r="I28" s="34">
        <f t="shared" si="0"/>
        <v>-869</v>
      </c>
      <c r="J28" s="352">
        <f>IFERROR(Table311[[#This Row],[Planned Quotas]]/Table311[[#This Row],[Fleet Quota Need]],100%)</f>
        <v>0.16762452107279693</v>
      </c>
      <c r="K28" s="35">
        <f>SUMIF(Table2[Course Title],Table311[[#This Row],[Courses - Planned vs Need (Active Courses)]],Table2[Graduates])</f>
        <v>0</v>
      </c>
      <c r="L28" s="60">
        <f>SUMIF(Table2[Course Title],Table311[[#This Row],[Courses - Planned vs Need (Active Courses)]],Table2[Registered])</f>
        <v>0</v>
      </c>
      <c r="M28" s="60">
        <f>SUMIF(Table2[Course Title],Table311[[#This Row],[Courses - Planned vs Need (Active Courses)]],Table2[Waitlisted])</f>
        <v>0</v>
      </c>
      <c r="N28" s="60">
        <f>SUMIF(Table2[Course Title],Table311[[#This Row],[Courses - Planned vs Need (Active Courses)]],Table2[Walk-ins])</f>
        <v>0</v>
      </c>
      <c r="O28" s="36">
        <f>SUMIF(Table2[Course Title],Table311[[#This Row],[Courses - Planned vs Need (Active Courses)]],Table2[No Shows])</f>
        <v>0</v>
      </c>
      <c r="P28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8" s="37">
        <f>ROUNDDOWN(Table311[[#This Row],[To date quotas unused (Open quotas+ no shows)]]/Table311[[#This Row],[Quota per Offering]],0)</f>
        <v>0</v>
      </c>
      <c r="R28" s="36">
        <f t="shared" si="1"/>
        <v>175</v>
      </c>
      <c r="S28" s="37">
        <f ca="1">COUNTIFS(Table2[Course Title],Table311[[#This Row],[Courses - Planned vs Need (Active Courses)]],Table2[Roster Status],"1",Table2[Remaining Courses],"0")</f>
        <v>0</v>
      </c>
      <c r="T28" s="37">
        <f ca="1">COUNTIFS(Table2[Course Title],Table311[[#This Row],[Courses - Planned vs Need (Active Courses)]],Table2[Remaining Courses],"1")</f>
        <v>7</v>
      </c>
      <c r="U28" s="39">
        <f t="shared" si="2"/>
        <v>0</v>
      </c>
      <c r="V28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8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8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28" s="37">
        <f t="shared" ca="1" si="3"/>
        <v>175</v>
      </c>
      <c r="Z28" s="37">
        <f>Table311[[#This Row],[Fleet Quota Need]]-Table311[[#This Row],[Total Grads]]</f>
        <v>1044</v>
      </c>
      <c r="AA28" s="25"/>
    </row>
    <row r="29" spans="2:27" ht="31.5" x14ac:dyDescent="0.25">
      <c r="B29" s="48" t="s">
        <v>50</v>
      </c>
      <c r="C29" s="34"/>
      <c r="D29" s="34" t="s">
        <v>237</v>
      </c>
      <c r="E29" s="34">
        <f>COUNTIF(Table2[Course Title],Table311[[#This Row],[Courses - Planned vs Need (Active Courses)]])</f>
        <v>19</v>
      </c>
      <c r="F29" s="34">
        <v>45</v>
      </c>
      <c r="G29" s="34">
        <f>Table311[[#This Row],[Course Offerings]]*Table311[[#This Row],[Quota per Offering]]</f>
        <v>855</v>
      </c>
      <c r="H29" s="140">
        <v>1113</v>
      </c>
      <c r="I29" s="34">
        <f t="shared" si="0"/>
        <v>-258</v>
      </c>
      <c r="J29" s="352">
        <f>IFERROR(Table311[[#This Row],[Planned Quotas]]/Table311[[#This Row],[Fleet Quota Need]],100%)</f>
        <v>0.76819407008086249</v>
      </c>
      <c r="K29" s="35">
        <f>SUMIF(Table2[Course Title],Table311[[#This Row],[Courses - Planned vs Need (Active Courses)]],Table2[Graduates])</f>
        <v>0</v>
      </c>
      <c r="L29" s="60">
        <f>SUMIF(Table2[Course Title],Table311[[#This Row],[Courses - Planned vs Need (Active Courses)]],Table2[Registered])</f>
        <v>0</v>
      </c>
      <c r="M29" s="60">
        <f>SUMIF(Table2[Course Title],Table311[[#This Row],[Courses - Planned vs Need (Active Courses)]],Table2[Waitlisted])</f>
        <v>0</v>
      </c>
      <c r="N29" s="60">
        <f>SUMIF(Table2[Course Title],Table311[[#This Row],[Courses - Planned vs Need (Active Courses)]],Table2[Walk-ins])</f>
        <v>0</v>
      </c>
      <c r="O29" s="36">
        <f>SUMIF(Table2[Course Title],Table311[[#This Row],[Courses - Planned vs Need (Active Courses)]],Table2[No Shows])</f>
        <v>0</v>
      </c>
      <c r="P29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9" s="37">
        <f>ROUNDDOWN(Table311[[#This Row],[To date quotas unused (Open quotas+ no shows)]]/Table311[[#This Row],[Quota per Offering]],0)</f>
        <v>0</v>
      </c>
      <c r="R29" s="36">
        <f t="shared" si="1"/>
        <v>855</v>
      </c>
      <c r="S29" s="37">
        <f ca="1">COUNTIFS(Table2[Course Title],Table311[[#This Row],[Courses - Planned vs Need (Active Courses)]],Table2[Roster Status],"1",Table2[Remaining Courses],"0")</f>
        <v>0</v>
      </c>
      <c r="T29" s="37">
        <f ca="1">COUNTIFS(Table2[Course Title],Table311[[#This Row],[Courses - Planned vs Need (Active Courses)]],Table2[Remaining Courses],"1")</f>
        <v>19</v>
      </c>
      <c r="U29" s="39">
        <f t="shared" si="2"/>
        <v>0</v>
      </c>
      <c r="V29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9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9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29" s="37">
        <f t="shared" ca="1" si="3"/>
        <v>855</v>
      </c>
      <c r="Z29" s="37">
        <f>Table311[[#This Row],[Fleet Quota Need]]-Table311[[#This Row],[Total Grads]]</f>
        <v>1113</v>
      </c>
      <c r="AA29" s="25"/>
    </row>
    <row r="30" spans="2:27" ht="31.5" x14ac:dyDescent="0.25">
      <c r="B30" s="48" t="s">
        <v>51</v>
      </c>
      <c r="C30" s="34"/>
      <c r="D30" s="34" t="s">
        <v>237</v>
      </c>
      <c r="E30" s="34">
        <f>COUNTIF(Table2[Course Title],Table311[[#This Row],[Courses - Planned vs Need (Active Courses)]])</f>
        <v>9</v>
      </c>
      <c r="F30" s="34">
        <v>45</v>
      </c>
      <c r="G30" s="34">
        <f>Table311[[#This Row],[Course Offerings]]*Table311[[#This Row],[Quota per Offering]]</f>
        <v>405</v>
      </c>
      <c r="H30" s="140">
        <v>674</v>
      </c>
      <c r="I30" s="34">
        <f t="shared" si="0"/>
        <v>-269</v>
      </c>
      <c r="J30" s="352">
        <f>IFERROR(Table311[[#This Row],[Planned Quotas]]/Table311[[#This Row],[Fleet Quota Need]],100%)</f>
        <v>0.60089020771513357</v>
      </c>
      <c r="K30" s="35">
        <f>SUMIF(Table2[Course Title],Table311[[#This Row],[Courses - Planned vs Need (Active Courses)]],Table2[Graduates])</f>
        <v>0</v>
      </c>
      <c r="L30" s="60">
        <f>SUMIF(Table2[Course Title],Table311[[#This Row],[Courses - Planned vs Need (Active Courses)]],Table2[Registered])</f>
        <v>0</v>
      </c>
      <c r="M30" s="60">
        <f>SUMIF(Table2[Course Title],Table311[[#This Row],[Courses - Planned vs Need (Active Courses)]],Table2[Waitlisted])</f>
        <v>0</v>
      </c>
      <c r="N30" s="60">
        <f>SUMIF(Table2[Course Title],Table311[[#This Row],[Courses - Planned vs Need (Active Courses)]],Table2[Walk-ins])</f>
        <v>0</v>
      </c>
      <c r="O30" s="36">
        <f>SUMIF(Table2[Course Title],Table311[[#This Row],[Courses - Planned vs Need (Active Courses)]],Table2[No Shows])</f>
        <v>0</v>
      </c>
      <c r="P30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0" s="37">
        <f>ROUNDDOWN(Table311[[#This Row],[To date quotas unused (Open quotas+ no shows)]]/Table311[[#This Row],[Quota per Offering]],0)</f>
        <v>0</v>
      </c>
      <c r="R30" s="36">
        <f t="shared" si="1"/>
        <v>405</v>
      </c>
      <c r="S30" s="37">
        <f ca="1">COUNTIFS(Table2[Course Title],Table311[[#This Row],[Courses - Planned vs Need (Active Courses)]],Table2[Roster Status],"1",Table2[Remaining Courses],"0")</f>
        <v>0</v>
      </c>
      <c r="T30" s="37">
        <f ca="1">COUNTIFS(Table2[Course Title],Table311[[#This Row],[Courses - Planned vs Need (Active Courses)]],Table2[Remaining Courses],"1")</f>
        <v>9</v>
      </c>
      <c r="U30" s="39">
        <f t="shared" si="2"/>
        <v>0</v>
      </c>
      <c r="V30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0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0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30" s="37">
        <f t="shared" ca="1" si="3"/>
        <v>405</v>
      </c>
      <c r="Z30" s="37">
        <f>Table311[[#This Row],[Fleet Quota Need]]-Table311[[#This Row],[Total Grads]]</f>
        <v>674</v>
      </c>
      <c r="AA30" s="25"/>
    </row>
    <row r="31" spans="2:27" ht="31.5" x14ac:dyDescent="0.25">
      <c r="B31" s="48" t="s">
        <v>59</v>
      </c>
      <c r="C31" s="34"/>
      <c r="D31" s="34" t="s">
        <v>263</v>
      </c>
      <c r="E31" s="34">
        <f>COUNTIF(Table2[Course Title],Table311[[#This Row],[Courses - Planned vs Need (Active Courses)]])</f>
        <v>24</v>
      </c>
      <c r="F31" s="34">
        <v>45</v>
      </c>
      <c r="G31" s="34">
        <f>Table311[[#This Row],[Course Offerings]]*Table311[[#This Row],[Quota per Offering]]</f>
        <v>1080</v>
      </c>
      <c r="H31" s="140">
        <v>1112</v>
      </c>
      <c r="I31" s="34">
        <f t="shared" si="0"/>
        <v>-32</v>
      </c>
      <c r="J31" s="352">
        <f>IFERROR(Table311[[#This Row],[Planned Quotas]]/Table311[[#This Row],[Fleet Quota Need]],100%)</f>
        <v>0.97122302158273377</v>
      </c>
      <c r="K31" s="35">
        <f>SUMIF(Table2[Course Title],Table311[[#This Row],[Courses - Planned vs Need (Active Courses)]],Table2[Graduates])</f>
        <v>0</v>
      </c>
      <c r="L31" s="60">
        <f>SUMIF(Table2[Course Title],Table311[[#This Row],[Courses - Planned vs Need (Active Courses)]],Table2[Registered])</f>
        <v>0</v>
      </c>
      <c r="M31" s="60">
        <f>SUMIF(Table2[Course Title],Table311[[#This Row],[Courses - Planned vs Need (Active Courses)]],Table2[Waitlisted])</f>
        <v>0</v>
      </c>
      <c r="N31" s="60">
        <f>SUMIF(Table2[Course Title],Table311[[#This Row],[Courses - Planned vs Need (Active Courses)]],Table2[Walk-ins])</f>
        <v>0</v>
      </c>
      <c r="O31" s="36">
        <f>SUMIF(Table2[Course Title],Table311[[#This Row],[Courses - Planned vs Need (Active Courses)]],Table2[No Shows])</f>
        <v>0</v>
      </c>
      <c r="P31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1" s="37">
        <f>ROUNDDOWN(Table311[[#This Row],[To date quotas unused (Open quotas+ no shows)]]/Table311[[#This Row],[Quota per Offering]],0)</f>
        <v>0</v>
      </c>
      <c r="R31" s="36">
        <f t="shared" si="1"/>
        <v>1080</v>
      </c>
      <c r="S31" s="37">
        <f ca="1">COUNTIFS(Table2[Course Title],Table311[[#This Row],[Courses - Planned vs Need (Active Courses)]],Table2[Roster Status],"1",Table2[Remaining Courses],"0")</f>
        <v>0</v>
      </c>
      <c r="T31" s="37">
        <f ca="1">COUNTIFS(Table2[Course Title],Table311[[#This Row],[Courses - Planned vs Need (Active Courses)]],Table2[Remaining Courses],"1")</f>
        <v>24</v>
      </c>
      <c r="U31" s="39">
        <f t="shared" si="2"/>
        <v>0</v>
      </c>
      <c r="V31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1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1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31" s="37">
        <f t="shared" ca="1" si="3"/>
        <v>1080</v>
      </c>
      <c r="Z31" s="37">
        <f>Table311[[#This Row],[Fleet Quota Need]]-Table311[[#This Row],[Total Grads]]</f>
        <v>1112</v>
      </c>
      <c r="AA31" s="25"/>
    </row>
    <row r="32" spans="2:27" ht="31.5" x14ac:dyDescent="0.25">
      <c r="B32" s="53" t="s">
        <v>60</v>
      </c>
      <c r="C32" s="34" t="s">
        <v>18</v>
      </c>
      <c r="D32" s="34" t="s">
        <v>263</v>
      </c>
      <c r="E32" s="34">
        <f>COUNTIF(Table2[Course Title],Table311[[#This Row],[Courses - Planned vs Need (Active Courses)]])</f>
        <v>0</v>
      </c>
      <c r="F32" s="34">
        <v>30</v>
      </c>
      <c r="G32" s="34">
        <f>Table311[[#This Row],[Course Offerings]]*Table311[[#This Row],[Quota per Offering]]</f>
        <v>0</v>
      </c>
      <c r="H32" s="140">
        <v>698</v>
      </c>
      <c r="I32" s="34">
        <f t="shared" si="0"/>
        <v>-698</v>
      </c>
      <c r="J32" s="352">
        <f>IFERROR(Table311[[#This Row],[Planned Quotas]]/Table311[[#This Row],[Fleet Quota Need]],100%)</f>
        <v>0</v>
      </c>
      <c r="K32" s="35">
        <f>SUMIF(Table2[Course Title],Table311[[#This Row],[Courses - Planned vs Need (Active Courses)]],Table2[Graduates])</f>
        <v>0</v>
      </c>
      <c r="L32" s="60">
        <f>SUMIF(Table2[Course Title],Table311[[#This Row],[Courses - Planned vs Need (Active Courses)]],Table2[Registered])</f>
        <v>0</v>
      </c>
      <c r="M32" s="60">
        <f>SUMIF(Table2[Course Title],Table311[[#This Row],[Courses - Planned vs Need (Active Courses)]],Table2[Waitlisted])</f>
        <v>0</v>
      </c>
      <c r="N32" s="60">
        <f>SUMIF(Table2[Course Title],Table311[[#This Row],[Courses - Planned vs Need (Active Courses)]],Table2[Walk-ins])</f>
        <v>0</v>
      </c>
      <c r="O32" s="36">
        <f>SUMIF(Table2[Course Title],Table311[[#This Row],[Courses - Planned vs Need (Active Courses)]],Table2[No Shows])</f>
        <v>0</v>
      </c>
      <c r="P32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2" s="37">
        <f>ROUNDDOWN(Table311[[#This Row],[To date quotas unused (Open quotas+ no shows)]]/Table311[[#This Row],[Quota per Offering]],0)</f>
        <v>0</v>
      </c>
      <c r="R32" s="36">
        <f t="shared" si="1"/>
        <v>0</v>
      </c>
      <c r="S32" s="37">
        <f>COUNTIFS(Table2[Course Title],Table311[[#This Row],[Courses - Planned vs Need (Active Courses)]],Table2[Roster Status],"1",Table2[Remaining Courses],"0")</f>
        <v>0</v>
      </c>
      <c r="T32" s="37">
        <f>COUNTIFS(Table2[Course Title],Table311[[#This Row],[Courses - Planned vs Need (Active Courses)]],Table2[Remaining Courses],"1")</f>
        <v>0</v>
      </c>
      <c r="U32" s="39">
        <f t="shared" si="2"/>
        <v>0</v>
      </c>
      <c r="V32" s="39">
        <f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2" s="47">
        <f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2" s="60">
        <f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32" s="37">
        <f t="shared" si="3"/>
        <v>0</v>
      </c>
      <c r="Z32" s="37">
        <f>Table311[[#This Row],[Fleet Quota Need]]-Table311[[#This Row],[Total Grads]]</f>
        <v>698</v>
      </c>
      <c r="AA32" s="25"/>
    </row>
    <row r="33" spans="2:27" ht="15.75" x14ac:dyDescent="0.25">
      <c r="B33" s="48" t="s">
        <v>61</v>
      </c>
      <c r="C33" s="34"/>
      <c r="D33" s="34" t="s">
        <v>263</v>
      </c>
      <c r="E33" s="34">
        <f>COUNTIF(Table2[Course Title],Table311[[#This Row],[Courses - Planned vs Need (Active Courses)]])</f>
        <v>19</v>
      </c>
      <c r="F33" s="34">
        <v>45</v>
      </c>
      <c r="G33" s="34">
        <f>Table311[[#This Row],[Course Offerings]]*Table311[[#This Row],[Quota per Offering]]</f>
        <v>855</v>
      </c>
      <c r="H33" s="140">
        <v>1260</v>
      </c>
      <c r="I33" s="34">
        <f t="shared" si="0"/>
        <v>-405</v>
      </c>
      <c r="J33" s="352">
        <f>IFERROR(Table311[[#This Row],[Planned Quotas]]/Table311[[#This Row],[Fleet Quota Need]],100%)</f>
        <v>0.6785714285714286</v>
      </c>
      <c r="K33" s="35">
        <f>SUMIF(Table2[Course Title],Table311[[#This Row],[Courses - Planned vs Need (Active Courses)]],Table2[Graduates])</f>
        <v>0</v>
      </c>
      <c r="L33" s="60">
        <f>SUMIF(Table2[Course Title],Table311[[#This Row],[Courses - Planned vs Need (Active Courses)]],Table2[Registered])</f>
        <v>0</v>
      </c>
      <c r="M33" s="60">
        <f>SUMIF(Table2[Course Title],Table311[[#This Row],[Courses - Planned vs Need (Active Courses)]],Table2[Waitlisted])</f>
        <v>0</v>
      </c>
      <c r="N33" s="60">
        <f>SUMIF(Table2[Course Title],Table311[[#This Row],[Courses - Planned vs Need (Active Courses)]],Table2[Walk-ins])</f>
        <v>0</v>
      </c>
      <c r="O33" s="36">
        <f>SUMIF(Table2[Course Title],Table311[[#This Row],[Courses - Planned vs Need (Active Courses)]],Table2[No Shows])</f>
        <v>0</v>
      </c>
      <c r="P33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3" s="37">
        <f>ROUNDDOWN(Table311[[#This Row],[To date quotas unused (Open quotas+ no shows)]]/Table311[[#This Row],[Quota per Offering]],0)</f>
        <v>0</v>
      </c>
      <c r="R33" s="36">
        <f t="shared" si="1"/>
        <v>855</v>
      </c>
      <c r="S33" s="37">
        <f ca="1">COUNTIFS(Table2[Course Title],Table311[[#This Row],[Courses - Planned vs Need (Active Courses)]],Table2[Roster Status],"1",Table2[Remaining Courses],"0")</f>
        <v>0</v>
      </c>
      <c r="T33" s="37">
        <f ca="1">COUNTIFS(Table2[Course Title],Table311[[#This Row],[Courses - Planned vs Need (Active Courses)]],Table2[Remaining Courses],"1")</f>
        <v>19</v>
      </c>
      <c r="U33" s="39">
        <f t="shared" si="2"/>
        <v>0</v>
      </c>
      <c r="V33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3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3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33" s="37">
        <f t="shared" ca="1" si="3"/>
        <v>855</v>
      </c>
      <c r="Z33" s="37">
        <f>Table311[[#This Row],[Fleet Quota Need]]-Table311[[#This Row],[Total Grads]]</f>
        <v>1260</v>
      </c>
      <c r="AA33" s="25"/>
    </row>
    <row r="34" spans="2:27" ht="15.75" x14ac:dyDescent="0.25">
      <c r="B34" s="48" t="s">
        <v>313</v>
      </c>
      <c r="C34" s="34"/>
      <c r="D34" s="34" t="s">
        <v>263</v>
      </c>
      <c r="E34" s="34">
        <f>COUNTIF(Table2[Course Title],Table311[[#This Row],[Courses - Planned vs Need (Active Courses)]])</f>
        <v>5</v>
      </c>
      <c r="F34" s="34">
        <v>30</v>
      </c>
      <c r="G34" s="34">
        <f>Table311[[#This Row],[Course Offerings]]*Table311[[#This Row],[Quota per Offering]]</f>
        <v>150</v>
      </c>
      <c r="H34" s="363">
        <v>0</v>
      </c>
      <c r="I34" s="364">
        <f t="shared" si="0"/>
        <v>150</v>
      </c>
      <c r="J34" s="352">
        <f>IFERROR(Table311[[#This Row],[Planned Quotas]]/Table311[[#This Row],[Fleet Quota Need]],100%)</f>
        <v>1</v>
      </c>
      <c r="K34" s="35">
        <f>SUMIF(Table2[Course Title],Table311[[#This Row],[Courses - Planned vs Need (Active Courses)]],Table2[Graduates])</f>
        <v>0</v>
      </c>
      <c r="L34" s="60">
        <f>SUMIF(Table2[Course Title],Table311[[#This Row],[Courses - Planned vs Need (Active Courses)]],Table2[Registered])</f>
        <v>0</v>
      </c>
      <c r="M34" s="60">
        <f>SUMIF(Table2[Course Title],Table311[[#This Row],[Courses - Planned vs Need (Active Courses)]],Table2[Waitlisted])</f>
        <v>0</v>
      </c>
      <c r="N34" s="60">
        <f>SUMIF(Table2[Course Title],Table311[[#This Row],[Courses - Planned vs Need (Active Courses)]],Table2[Walk-ins])</f>
        <v>0</v>
      </c>
      <c r="O34" s="36">
        <f>SUMIF(Table2[Course Title],Table311[[#This Row],[Courses - Planned vs Need (Active Courses)]],Table2[No Shows])</f>
        <v>0</v>
      </c>
      <c r="P34" s="37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4" s="37">
        <f>ROUNDDOWN(Table311[[#This Row],[To date quotas unused (Open quotas+ no shows)]]/Table311[[#This Row],[Quota per Offering]],0)</f>
        <v>0</v>
      </c>
      <c r="R34" s="36">
        <f t="shared" si="1"/>
        <v>150</v>
      </c>
      <c r="S34" s="37">
        <f ca="1">COUNTIFS(Table2[Course Title],Table311[[#This Row],[Courses - Planned vs Need (Active Courses)]],Table2[Roster Status],"1",Table2[Remaining Courses],"0")</f>
        <v>0</v>
      </c>
      <c r="T34" s="37">
        <f ca="1">COUNTIFS(Table2[Course Title],Table311[[#This Row],[Courses - Planned vs Need (Active Courses)]],Table2[Remaining Courses],"1")</f>
        <v>5</v>
      </c>
      <c r="U34" s="39">
        <f t="shared" si="2"/>
        <v>1</v>
      </c>
      <c r="V34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4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4" s="365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34" s="37">
        <f t="shared" ca="1" si="3"/>
        <v>150</v>
      </c>
      <c r="Z34" s="37">
        <f>Table311[[#This Row],[Fleet Quota Need]]-Table311[[#This Row],[Total Grads]]</f>
        <v>0</v>
      </c>
      <c r="AA34" s="25"/>
    </row>
    <row r="35" spans="2:27" ht="31.5" x14ac:dyDescent="0.25">
      <c r="B35" s="48" t="s">
        <v>52</v>
      </c>
      <c r="C35" s="34"/>
      <c r="D35" s="34" t="s">
        <v>237</v>
      </c>
      <c r="E35" s="34">
        <f>COUNTIF(Table2[Course Title],Table311[[#This Row],[Courses - Planned vs Need (Active Courses)]])</f>
        <v>9</v>
      </c>
      <c r="F35" s="34">
        <v>45</v>
      </c>
      <c r="G35" s="34">
        <f>Table311[[#This Row],[Course Offerings]]*Table311[[#This Row],[Quota per Offering]]</f>
        <v>405</v>
      </c>
      <c r="H35" s="140">
        <v>835</v>
      </c>
      <c r="I35" s="34">
        <f t="shared" si="0"/>
        <v>-430</v>
      </c>
      <c r="J35" s="352">
        <f>IFERROR(Table311[[#This Row],[Planned Quotas]]/Table311[[#This Row],[Fleet Quota Need]],100%)</f>
        <v>0.48502994011976047</v>
      </c>
      <c r="K35" s="35">
        <f>SUMIF(Table2[Course Title],Table311[[#This Row],[Courses - Planned vs Need (Active Courses)]],Table2[Graduates])</f>
        <v>0</v>
      </c>
      <c r="L35" s="60">
        <f>SUMIF(Table2[Course Title],Table311[[#This Row],[Courses - Planned vs Need (Active Courses)]],Table2[Registered])</f>
        <v>0</v>
      </c>
      <c r="M35" s="60">
        <f>SUMIF(Table2[Course Title],Table311[[#This Row],[Courses - Planned vs Need (Active Courses)]],Table2[Waitlisted])</f>
        <v>0</v>
      </c>
      <c r="N35" s="60">
        <f>SUMIF(Table2[Course Title],Table311[[#This Row],[Courses - Planned vs Need (Active Courses)]],Table2[Walk-ins])</f>
        <v>0</v>
      </c>
      <c r="O35" s="36">
        <f>SUMIF(Table2[Course Title],Table311[[#This Row],[Courses - Planned vs Need (Active Courses)]],Table2[No Shows])</f>
        <v>0</v>
      </c>
      <c r="P35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5" s="37">
        <f>ROUNDDOWN(Table311[[#This Row],[To date quotas unused (Open quotas+ no shows)]]/Table311[[#This Row],[Quota per Offering]],0)</f>
        <v>0</v>
      </c>
      <c r="R35" s="36">
        <f t="shared" si="1"/>
        <v>405</v>
      </c>
      <c r="S35" s="37">
        <f ca="1">COUNTIFS(Table2[Course Title],Table311[[#This Row],[Courses - Planned vs Need (Active Courses)]],Table2[Roster Status],"1",Table2[Remaining Courses],"0")</f>
        <v>0</v>
      </c>
      <c r="T35" s="37">
        <f ca="1">COUNTIFS(Table2[Course Title],Table311[[#This Row],[Courses - Planned vs Need (Active Courses)]],Table2[Remaining Courses],"1")</f>
        <v>9</v>
      </c>
      <c r="U35" s="39">
        <f t="shared" si="2"/>
        <v>0</v>
      </c>
      <c r="V35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5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5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35" s="37">
        <f t="shared" ca="1" si="3"/>
        <v>405</v>
      </c>
      <c r="Z35" s="37">
        <f>Table311[[#This Row],[Fleet Quota Need]]-Table311[[#This Row],[Total Grads]]</f>
        <v>835</v>
      </c>
      <c r="AA35" s="25"/>
    </row>
    <row r="36" spans="2:27" ht="31.5" x14ac:dyDescent="0.25">
      <c r="B36" s="53" t="s">
        <v>35</v>
      </c>
      <c r="C36" s="34" t="s">
        <v>18</v>
      </c>
      <c r="D36" s="34" t="s">
        <v>228</v>
      </c>
      <c r="E36" s="34">
        <f>COUNTIF(Table2[Course Title],Table311[[#This Row],[Courses - Planned vs Need (Active Courses)]])</f>
        <v>30</v>
      </c>
      <c r="F36" s="34">
        <v>30</v>
      </c>
      <c r="G36" s="34">
        <f>Table311[[#This Row],[Course Offerings]]*Table311[[#This Row],[Quota per Offering]]</f>
        <v>900</v>
      </c>
      <c r="H36" s="140">
        <v>1085</v>
      </c>
      <c r="I36" s="34">
        <f t="shared" si="0"/>
        <v>-185</v>
      </c>
      <c r="J36" s="352">
        <f>IFERROR(Table311[[#This Row],[Planned Quotas]]/Table311[[#This Row],[Fleet Quota Need]],100%)</f>
        <v>0.82949308755760365</v>
      </c>
      <c r="K36" s="35">
        <f>SUMIF(Table2[Course Title],Table311[[#This Row],[Courses - Planned vs Need (Active Courses)]],Table2[Graduates])</f>
        <v>0</v>
      </c>
      <c r="L36" s="60">
        <f>SUMIF(Table2[Course Title],Table311[[#This Row],[Courses - Planned vs Need (Active Courses)]],Table2[Registered])</f>
        <v>0</v>
      </c>
      <c r="M36" s="60">
        <f>SUMIF(Table2[Course Title],Table311[[#This Row],[Courses - Planned vs Need (Active Courses)]],Table2[Waitlisted])</f>
        <v>0</v>
      </c>
      <c r="N36" s="60">
        <f>SUMIF(Table2[Course Title],Table311[[#This Row],[Courses - Planned vs Need (Active Courses)]],Table2[Walk-ins])</f>
        <v>0</v>
      </c>
      <c r="O36" s="36">
        <f>SUMIF(Table2[Course Title],Table311[[#This Row],[Courses - Planned vs Need (Active Courses)]],Table2[No Shows])</f>
        <v>0</v>
      </c>
      <c r="P36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6" s="37">
        <f>ROUNDDOWN(Table311[[#This Row],[To date quotas unused (Open quotas+ no shows)]]/Table311[[#This Row],[Quota per Offering]],0)</f>
        <v>0</v>
      </c>
      <c r="R36" s="36">
        <f t="shared" si="1"/>
        <v>900</v>
      </c>
      <c r="S36" s="37">
        <f>COUNTIFS(Table2[Course Title],Table311[[#This Row],[Courses - Planned vs Need (Active Courses)]],Table2[Roster Status],"1",Table2[Remaining Courses],"0")</f>
        <v>0</v>
      </c>
      <c r="T36" s="37">
        <f>COUNTIFS(Table2[Course Title],Table311[[#This Row],[Courses - Planned vs Need (Active Courses)]],Table2[Remaining Courses],"1")</f>
        <v>30</v>
      </c>
      <c r="U36" s="39">
        <f t="shared" si="2"/>
        <v>0</v>
      </c>
      <c r="V36" s="39">
        <f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6" s="47">
        <f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6" s="60">
        <f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36" s="37">
        <f t="shared" si="3"/>
        <v>900</v>
      </c>
      <c r="Z36" s="37">
        <f>Table311[[#This Row],[Fleet Quota Need]]-Table311[[#This Row],[Total Grads]]</f>
        <v>1085</v>
      </c>
      <c r="AA36" s="25"/>
    </row>
    <row r="37" spans="2:27" ht="47.25" x14ac:dyDescent="0.25">
      <c r="B37" s="48" t="s">
        <v>39</v>
      </c>
      <c r="C37" s="34"/>
      <c r="D37" s="34" t="s">
        <v>263</v>
      </c>
      <c r="E37" s="34">
        <f>COUNTIF(Table2[Course Title],Table311[[#This Row],[Courses - Planned vs Need (Active Courses)]])</f>
        <v>17</v>
      </c>
      <c r="F37" s="445">
        <v>45</v>
      </c>
      <c r="G37" s="34">
        <f>Table311[[#This Row],[Course Offerings]]*Table311[[#This Row],[Quota per Offering]]</f>
        <v>765</v>
      </c>
      <c r="H37" s="140">
        <v>804</v>
      </c>
      <c r="I37" s="34">
        <f t="shared" ref="I37:I54" si="4">SUM(G37-H37)</f>
        <v>-39</v>
      </c>
      <c r="J37" s="352">
        <f>IFERROR(Table311[[#This Row],[Planned Quotas]]/Table311[[#This Row],[Fleet Quota Need]],100%)</f>
        <v>0.95149253731343286</v>
      </c>
      <c r="K37" s="35">
        <f>SUMIF(Table2[Course Title],Table311[[#This Row],[Courses - Planned vs Need (Active Courses)]],Table2[Graduates])</f>
        <v>0</v>
      </c>
      <c r="L37" s="60">
        <f>SUMIF(Table2[Course Title],Table311[[#This Row],[Courses - Planned vs Need (Active Courses)]],Table2[Registered])</f>
        <v>0</v>
      </c>
      <c r="M37" s="60">
        <f>SUMIF(Table2[Course Title],Table311[[#This Row],[Courses - Planned vs Need (Active Courses)]],Table2[Waitlisted])</f>
        <v>0</v>
      </c>
      <c r="N37" s="60">
        <f>SUMIF(Table2[Course Title],Table311[[#This Row],[Courses - Planned vs Need (Active Courses)]],Table2[Walk-ins])</f>
        <v>0</v>
      </c>
      <c r="O37" s="36">
        <f>SUMIF(Table2[Course Title],Table311[[#This Row],[Courses - Planned vs Need (Active Courses)]],Table2[No Shows])</f>
        <v>0</v>
      </c>
      <c r="P37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7" s="37">
        <f>ROUNDDOWN(Table311[[#This Row],[To date quotas unused (Open quotas+ no shows)]]/Table311[[#This Row],[Quota per Offering]],0)</f>
        <v>0</v>
      </c>
      <c r="R37" s="36">
        <f t="shared" ref="R37:R54" si="5">SUM(G37-K37)</f>
        <v>765</v>
      </c>
      <c r="S37" s="37">
        <f ca="1">COUNTIFS(Table2[Course Title],Table311[[#This Row],[Courses - Planned vs Need (Active Courses)]],Table2[Roster Status],"1",Table2[Remaining Courses],"0")</f>
        <v>0</v>
      </c>
      <c r="T37" s="37">
        <f ca="1">COUNTIFS(Table2[Course Title],Table311[[#This Row],[Courses - Planned vs Need (Active Courses)]],Table2[Remaining Courses],"1")</f>
        <v>17</v>
      </c>
      <c r="U37" s="39">
        <f t="shared" ref="U37:U54" si="6">IFERROR((K37/H37),100%)</f>
        <v>0</v>
      </c>
      <c r="V37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7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7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37" s="37">
        <f t="shared" ref="Y37:Y54" ca="1" si="7">SUM(S37,T37)*F37</f>
        <v>765</v>
      </c>
      <c r="Z37" s="37">
        <f>Table311[[#This Row],[Fleet Quota Need]]-Table311[[#This Row],[Total Grads]]</f>
        <v>804</v>
      </c>
      <c r="AA37" s="25"/>
    </row>
    <row r="38" spans="2:27" ht="31.5" x14ac:dyDescent="0.25">
      <c r="B38" s="48" t="s">
        <v>53</v>
      </c>
      <c r="C38" s="34"/>
      <c r="D38" s="34" t="s">
        <v>237</v>
      </c>
      <c r="E38" s="34">
        <f>COUNTIF(Table2[Course Title],Table311[[#This Row],[Courses - Planned vs Need (Active Courses)]])</f>
        <v>25</v>
      </c>
      <c r="F38" s="34">
        <v>30</v>
      </c>
      <c r="G38" s="38">
        <f>Table311[[#This Row],[Course Offerings]]*Table311[[#This Row],[Quota per Offering]]</f>
        <v>750</v>
      </c>
      <c r="H38" s="140">
        <v>1671</v>
      </c>
      <c r="I38" s="34">
        <f t="shared" si="4"/>
        <v>-921</v>
      </c>
      <c r="J38" s="352">
        <f>IFERROR(Table311[[#This Row],[Planned Quotas]]/Table311[[#This Row],[Fleet Quota Need]],100%)</f>
        <v>0.44883303411131059</v>
      </c>
      <c r="K38" s="35">
        <f>SUMIF(Table2[Course Title],Table311[[#This Row],[Courses - Planned vs Need (Active Courses)]],Table2[Graduates])</f>
        <v>0</v>
      </c>
      <c r="L38" s="60">
        <f>SUMIF(Table2[Course Title],Table311[[#This Row],[Courses - Planned vs Need (Active Courses)]],Table2[Registered])</f>
        <v>0</v>
      </c>
      <c r="M38" s="60">
        <f>SUMIF(Table2[Course Title],Table311[[#This Row],[Courses - Planned vs Need (Active Courses)]],Table2[Waitlisted])</f>
        <v>0</v>
      </c>
      <c r="N38" s="60">
        <f>SUMIF(Table2[Course Title],Table311[[#This Row],[Courses - Planned vs Need (Active Courses)]],Table2[Walk-ins])</f>
        <v>0</v>
      </c>
      <c r="O38" s="36">
        <f>SUMIF(Table2[Course Title],Table311[[#This Row],[Courses - Planned vs Need (Active Courses)]],Table2[No Shows])</f>
        <v>0</v>
      </c>
      <c r="P38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8" s="37">
        <f>ROUNDDOWN(Table311[[#This Row],[To date quotas unused (Open quotas+ no shows)]]/Table311[[#This Row],[Quota per Offering]],0)</f>
        <v>0</v>
      </c>
      <c r="R38" s="36">
        <f t="shared" si="5"/>
        <v>750</v>
      </c>
      <c r="S38" s="37">
        <f ca="1">COUNTIFS(Table2[Course Title],Table311[[#This Row],[Courses - Planned vs Need (Active Courses)]],Table2[Roster Status],"1",Table2[Remaining Courses],"0")</f>
        <v>0</v>
      </c>
      <c r="T38" s="37">
        <f ca="1">COUNTIFS(Table2[Course Title],Table311[[#This Row],[Courses - Planned vs Need (Active Courses)]],Table2[Remaining Courses],"1")</f>
        <v>25</v>
      </c>
      <c r="U38" s="39">
        <f t="shared" si="6"/>
        <v>0</v>
      </c>
      <c r="V38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8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8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38" s="37">
        <f t="shared" ca="1" si="7"/>
        <v>750</v>
      </c>
      <c r="Z38" s="37">
        <f>Table311[[#This Row],[Fleet Quota Need]]-Table311[[#This Row],[Total Grads]]</f>
        <v>1671</v>
      </c>
      <c r="AA38" s="219"/>
    </row>
    <row r="39" spans="2:27" ht="31.5" x14ac:dyDescent="0.25">
      <c r="B39" s="48" t="s">
        <v>375</v>
      </c>
      <c r="C39" s="34"/>
      <c r="D39" s="34" t="s">
        <v>332</v>
      </c>
      <c r="E39" s="34">
        <f>COUNTIF(Table2[Course Title],Table311[[#This Row],[Courses - Planned vs Need (Active Courses)]])</f>
        <v>3</v>
      </c>
      <c r="F39" s="34">
        <v>100</v>
      </c>
      <c r="G39" s="38">
        <f>Table311[[#This Row],[Course Offerings]]*Table311[[#This Row],[Quota per Offering]]</f>
        <v>300</v>
      </c>
      <c r="H39" s="363">
        <v>0</v>
      </c>
      <c r="I39" s="364">
        <f t="shared" si="4"/>
        <v>300</v>
      </c>
      <c r="J39" s="352">
        <f>IFERROR(Table311[[#This Row],[Planned Quotas]]/Table311[[#This Row],[Fleet Quota Need]],100%)</f>
        <v>1</v>
      </c>
      <c r="K39" s="35">
        <f>SUMIF(Table2[Course Title],Table311[[#This Row],[Courses - Planned vs Need (Active Courses)]],Table2[Graduates])</f>
        <v>0</v>
      </c>
      <c r="L39" s="60">
        <f>SUMIF(Table2[Course Title],Table311[[#This Row],[Courses - Planned vs Need (Active Courses)]],Table2[Registered])</f>
        <v>0</v>
      </c>
      <c r="M39" s="60">
        <f>SUMIF(Table2[Course Title],Table311[[#This Row],[Courses - Planned vs Need (Active Courses)]],Table2[Waitlisted])</f>
        <v>0</v>
      </c>
      <c r="N39" s="60">
        <f>SUMIF(Table2[Course Title],Table311[[#This Row],[Courses - Planned vs Need (Active Courses)]],Table2[Walk-ins])</f>
        <v>0</v>
      </c>
      <c r="O39" s="36">
        <f>SUMIF(Table2[Course Title],Table311[[#This Row],[Courses - Planned vs Need (Active Courses)]],Table2[No Shows])</f>
        <v>0</v>
      </c>
      <c r="P39" s="37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9" s="37">
        <f>ROUNDDOWN(Table311[[#This Row],[To date quotas unused (Open quotas+ no shows)]]/Table311[[#This Row],[Quota per Offering]],0)</f>
        <v>0</v>
      </c>
      <c r="R39" s="36">
        <f t="shared" si="5"/>
        <v>300</v>
      </c>
      <c r="S39" s="37">
        <f ca="1">COUNTIFS(Table2[Course Title],Table311[[#This Row],[Courses - Planned vs Need (Active Courses)]],Table2[Roster Status],"1",Table2[Remaining Courses],"0")</f>
        <v>0</v>
      </c>
      <c r="T39" s="37">
        <f ca="1">COUNTIFS(Table2[Course Title],Table311[[#This Row],[Courses - Planned vs Need (Active Courses)]],Table2[Remaining Courses],"1")</f>
        <v>3</v>
      </c>
      <c r="U39" s="39">
        <f t="shared" si="6"/>
        <v>1</v>
      </c>
      <c r="V39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9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9" s="365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39" s="37">
        <f t="shared" ca="1" si="7"/>
        <v>300</v>
      </c>
      <c r="Z39" s="37">
        <f>Table311[[#This Row],[Fleet Quota Need]]-Table311[[#This Row],[Total Grads]]</f>
        <v>0</v>
      </c>
      <c r="AA39" s="24"/>
    </row>
    <row r="40" spans="2:27" ht="31.5" x14ac:dyDescent="0.25">
      <c r="B40" s="48" t="s">
        <v>372</v>
      </c>
      <c r="C40" s="34"/>
      <c r="D40" s="34" t="s">
        <v>332</v>
      </c>
      <c r="E40" s="34">
        <f>COUNTIF(Table2[Course Title],Table311[[#This Row],[Courses - Planned vs Need (Active Courses)]])</f>
        <v>3</v>
      </c>
      <c r="F40" s="34">
        <v>100</v>
      </c>
      <c r="G40" s="38">
        <f>Table311[[#This Row],[Course Offerings]]*Table311[[#This Row],[Quota per Offering]]</f>
        <v>300</v>
      </c>
      <c r="H40" s="363">
        <v>0</v>
      </c>
      <c r="I40" s="364">
        <f t="shared" si="4"/>
        <v>300</v>
      </c>
      <c r="J40" s="352">
        <f>IFERROR(Table311[[#This Row],[Planned Quotas]]/Table311[[#This Row],[Fleet Quota Need]],100%)</f>
        <v>1</v>
      </c>
      <c r="K40" s="35">
        <f>SUMIF(Table2[Course Title],Table311[[#This Row],[Courses - Planned vs Need (Active Courses)]],Table2[Graduates])</f>
        <v>0</v>
      </c>
      <c r="L40" s="60">
        <f>SUMIF(Table2[Course Title],Table311[[#This Row],[Courses - Planned vs Need (Active Courses)]],Table2[Registered])</f>
        <v>0</v>
      </c>
      <c r="M40" s="60">
        <f>SUMIF(Table2[Course Title],Table311[[#This Row],[Courses - Planned vs Need (Active Courses)]],Table2[Waitlisted])</f>
        <v>0</v>
      </c>
      <c r="N40" s="60">
        <f>SUMIF(Table2[Course Title],Table311[[#This Row],[Courses - Planned vs Need (Active Courses)]],Table2[Walk-ins])</f>
        <v>0</v>
      </c>
      <c r="O40" s="36">
        <f>SUMIF(Table2[Course Title],Table311[[#This Row],[Courses - Planned vs Need (Active Courses)]],Table2[No Shows])</f>
        <v>0</v>
      </c>
      <c r="P40" s="37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0" s="37">
        <f>ROUNDDOWN(Table311[[#This Row],[To date quotas unused (Open quotas+ no shows)]]/Table311[[#This Row],[Quota per Offering]],0)</f>
        <v>0</v>
      </c>
      <c r="R40" s="36">
        <f t="shared" si="5"/>
        <v>300</v>
      </c>
      <c r="S40" s="37">
        <f ca="1">COUNTIFS(Table2[Course Title],Table311[[#This Row],[Courses - Planned vs Need (Active Courses)]],Table2[Roster Status],"1",Table2[Remaining Courses],"0")</f>
        <v>0</v>
      </c>
      <c r="T40" s="37">
        <f ca="1">COUNTIFS(Table2[Course Title],Table311[[#This Row],[Courses - Planned vs Need (Active Courses)]],Table2[Remaining Courses],"1")</f>
        <v>3</v>
      </c>
      <c r="U40" s="39">
        <f t="shared" si="6"/>
        <v>1</v>
      </c>
      <c r="V40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0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0" s="365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40" s="37">
        <f t="shared" ca="1" si="7"/>
        <v>300</v>
      </c>
      <c r="Z40" s="37">
        <f>Table311[[#This Row],[Fleet Quota Need]]-Table311[[#This Row],[Total Grads]]</f>
        <v>0</v>
      </c>
      <c r="AA40" s="24"/>
    </row>
    <row r="41" spans="2:27" ht="31.5" x14ac:dyDescent="0.25">
      <c r="B41" s="48" t="s">
        <v>395</v>
      </c>
      <c r="C41" s="34"/>
      <c r="D41" s="34" t="s">
        <v>332</v>
      </c>
      <c r="E41" s="34">
        <f>COUNTIF(Table2[Course Title],Table311[[#This Row],[Courses - Planned vs Need (Active Courses)]])</f>
        <v>3</v>
      </c>
      <c r="F41" s="34">
        <v>100</v>
      </c>
      <c r="G41" s="38">
        <f>Table311[[#This Row],[Course Offerings]]*Table311[[#This Row],[Quota per Offering]]</f>
        <v>300</v>
      </c>
      <c r="H41" s="363">
        <v>0</v>
      </c>
      <c r="I41" s="364">
        <f t="shared" si="4"/>
        <v>300</v>
      </c>
      <c r="J41" s="352">
        <f>IFERROR(Table311[[#This Row],[Planned Quotas]]/Table311[[#This Row],[Fleet Quota Need]],100%)</f>
        <v>1</v>
      </c>
      <c r="K41" s="35">
        <f>SUMIF(Table2[Course Title],Table311[[#This Row],[Courses - Planned vs Need (Active Courses)]],Table2[Graduates])</f>
        <v>0</v>
      </c>
      <c r="L41" s="60">
        <f>SUMIF(Table2[Course Title],Table311[[#This Row],[Courses - Planned vs Need (Active Courses)]],Table2[Registered])</f>
        <v>0</v>
      </c>
      <c r="M41" s="60">
        <f>SUMIF(Table2[Course Title],Table311[[#This Row],[Courses - Planned vs Need (Active Courses)]],Table2[Waitlisted])</f>
        <v>0</v>
      </c>
      <c r="N41" s="60">
        <f>SUMIF(Table2[Course Title],Table311[[#This Row],[Courses - Planned vs Need (Active Courses)]],Table2[Walk-ins])</f>
        <v>0</v>
      </c>
      <c r="O41" s="36">
        <f>SUMIF(Table2[Course Title],Table311[[#This Row],[Courses - Planned vs Need (Active Courses)]],Table2[No Shows])</f>
        <v>0</v>
      </c>
      <c r="P41" s="37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1" s="37">
        <f>ROUNDDOWN(Table311[[#This Row],[To date quotas unused (Open quotas+ no shows)]]/Table311[[#This Row],[Quota per Offering]],0)</f>
        <v>0</v>
      </c>
      <c r="R41" s="36">
        <f t="shared" si="5"/>
        <v>300</v>
      </c>
      <c r="S41" s="37">
        <f ca="1">COUNTIFS(Table2[Course Title],Table311[[#This Row],[Courses - Planned vs Need (Active Courses)]],Table2[Roster Status],"1",Table2[Remaining Courses],"0")</f>
        <v>0</v>
      </c>
      <c r="T41" s="37">
        <f ca="1">COUNTIFS(Table2[Course Title],Table311[[#This Row],[Courses - Planned vs Need (Active Courses)]],Table2[Remaining Courses],"1")</f>
        <v>3</v>
      </c>
      <c r="U41" s="39">
        <f t="shared" si="6"/>
        <v>1</v>
      </c>
      <c r="V41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1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1" s="365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41" s="37">
        <f t="shared" ca="1" si="7"/>
        <v>300</v>
      </c>
      <c r="Z41" s="37">
        <f>Table311[[#This Row],[Fleet Quota Need]]-Table311[[#This Row],[Total Grads]]</f>
        <v>0</v>
      </c>
      <c r="AA41" s="24"/>
    </row>
    <row r="42" spans="2:27" ht="31.5" x14ac:dyDescent="0.25">
      <c r="B42" s="48" t="s">
        <v>391</v>
      </c>
      <c r="C42" s="34"/>
      <c r="D42" s="34" t="s">
        <v>332</v>
      </c>
      <c r="E42" s="34">
        <f>COUNTIF(Table2[Course Title],Table311[[#This Row],[Courses - Planned vs Need (Active Courses)]])</f>
        <v>3</v>
      </c>
      <c r="F42" s="34">
        <v>100</v>
      </c>
      <c r="G42" s="34">
        <f>Table311[[#This Row],[Course Offerings]]*Table311[[#This Row],[Quota per Offering]]</f>
        <v>300</v>
      </c>
      <c r="H42" s="356">
        <v>0</v>
      </c>
      <c r="I42" s="364">
        <f t="shared" si="4"/>
        <v>300</v>
      </c>
      <c r="J42" s="352">
        <f>IFERROR(Table311[[#This Row],[Planned Quotas]]/Table311[[#This Row],[Fleet Quota Need]],100%)</f>
        <v>1</v>
      </c>
      <c r="K42" s="35">
        <f>SUMIF(Table2[Course Title],Table311[[#This Row],[Courses - Planned vs Need (Active Courses)]],Table2[Graduates])</f>
        <v>0</v>
      </c>
      <c r="L42" s="60">
        <f>SUMIF(Table2[Course Title],Table311[[#This Row],[Courses - Planned vs Need (Active Courses)]],Table2[Registered])</f>
        <v>0</v>
      </c>
      <c r="M42" s="60">
        <f>SUMIF(Table2[Course Title],Table311[[#This Row],[Courses - Planned vs Need (Active Courses)]],Table2[Waitlisted])</f>
        <v>0</v>
      </c>
      <c r="N42" s="60">
        <f>SUMIF(Table2[Course Title],Table311[[#This Row],[Courses - Planned vs Need (Active Courses)]],Table2[Walk-ins])</f>
        <v>0</v>
      </c>
      <c r="O42" s="36">
        <f>SUMIF(Table2[Course Title],Table311[[#This Row],[Courses - Planned vs Need (Active Courses)]],Table2[No Shows])</f>
        <v>0</v>
      </c>
      <c r="P42" s="37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2" s="37">
        <f>ROUNDDOWN(Table311[[#This Row],[To date quotas unused (Open quotas+ no shows)]]/Table311[[#This Row],[Quota per Offering]],0)</f>
        <v>0</v>
      </c>
      <c r="R42" s="36">
        <f t="shared" si="5"/>
        <v>300</v>
      </c>
      <c r="S42" s="37">
        <f ca="1">COUNTIFS(Table2[Course Title],Table311[[#This Row],[Courses - Planned vs Need (Active Courses)]],Table2[Roster Status],"1",Table2[Remaining Courses],"0")</f>
        <v>0</v>
      </c>
      <c r="T42" s="37">
        <f ca="1">COUNTIFS(Table2[Course Title],Table311[[#This Row],[Courses - Planned vs Need (Active Courses)]],Table2[Remaining Courses],"1")</f>
        <v>3</v>
      </c>
      <c r="U42" s="39">
        <f t="shared" si="6"/>
        <v>1</v>
      </c>
      <c r="V42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2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2" s="366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42" s="344">
        <f t="shared" ca="1" si="7"/>
        <v>300</v>
      </c>
      <c r="Z42" s="344">
        <f>Table311[[#This Row],[Fleet Quota Need]]-Table311[[#This Row],[Total Grads]]</f>
        <v>0</v>
      </c>
      <c r="AA42" s="367"/>
    </row>
    <row r="43" spans="2:27" ht="31.5" x14ac:dyDescent="0.25">
      <c r="B43" s="350" t="s">
        <v>365</v>
      </c>
      <c r="C43" s="38"/>
      <c r="D43" s="38" t="s">
        <v>332</v>
      </c>
      <c r="E43" s="38">
        <f>COUNTIF(Table2[Course Title],Table311[[#This Row],[Courses - Planned vs Need (Active Courses)]])</f>
        <v>3</v>
      </c>
      <c r="F43" s="38">
        <v>100</v>
      </c>
      <c r="G43" s="38">
        <f>Table311[[#This Row],[Course Offerings]]*Table311[[#This Row],[Quota per Offering]]</f>
        <v>300</v>
      </c>
      <c r="H43" s="356">
        <v>0</v>
      </c>
      <c r="I43" s="351">
        <f t="shared" si="4"/>
        <v>300</v>
      </c>
      <c r="J43" s="352">
        <f>IFERROR(Table311[[#This Row],[Planned Quotas]]/Table311[[#This Row],[Fleet Quota Need]],100%)</f>
        <v>1</v>
      </c>
      <c r="K43" s="342">
        <f>SUMIF(Table2[Course Title],Table311[[#This Row],[Courses - Planned vs Need (Active Courses)]],Table2[Graduates])</f>
        <v>0</v>
      </c>
      <c r="L43" s="343">
        <f>SUMIF(Table2[Course Title],Table311[[#This Row],[Courses - Planned vs Need (Active Courses)]],Table2[Registered])</f>
        <v>0</v>
      </c>
      <c r="M43" s="343">
        <f>SUMIF(Table2[Course Title],Table311[[#This Row],[Courses - Planned vs Need (Active Courses)]],Table2[Waitlisted])</f>
        <v>0</v>
      </c>
      <c r="N43" s="343">
        <f>SUMIF(Table2[Course Title],Table311[[#This Row],[Courses - Planned vs Need (Active Courses)]],Table2[Walk-ins])</f>
        <v>0</v>
      </c>
      <c r="O43" s="38">
        <f>SUMIF(Table2[Course Title],Table311[[#This Row],[Courses - Planned vs Need (Active Courses)]],Table2[No Shows])</f>
        <v>0</v>
      </c>
      <c r="P43" s="344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3" s="344">
        <f>ROUNDDOWN(Table311[[#This Row],[To date quotas unused (Open quotas+ no shows)]]/Table311[[#This Row],[Quota per Offering]],0)</f>
        <v>0</v>
      </c>
      <c r="R43" s="38">
        <f t="shared" si="5"/>
        <v>300</v>
      </c>
      <c r="S43" s="344">
        <f ca="1">COUNTIFS(Table2[Course Title],Table311[[#This Row],[Courses - Planned vs Need (Active Courses)]],Table2[Roster Status],"1",Table2[Remaining Courses],"0")</f>
        <v>0</v>
      </c>
      <c r="T43" s="344">
        <f ca="1">COUNTIFS(Table2[Course Title],Table311[[#This Row],[Courses - Planned vs Need (Active Courses)]],Table2[Remaining Courses],"1")</f>
        <v>3</v>
      </c>
      <c r="U43" s="39">
        <f t="shared" si="6"/>
        <v>1</v>
      </c>
      <c r="V43" s="357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3" s="358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3" s="366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43" s="344">
        <f t="shared" ca="1" si="7"/>
        <v>300</v>
      </c>
      <c r="Z43" s="344">
        <f>Table311[[#This Row],[Fleet Quota Need]]-Table311[[#This Row],[Total Grads]]</f>
        <v>0</v>
      </c>
      <c r="AA43" s="359"/>
    </row>
    <row r="44" spans="2:27" ht="47.25" x14ac:dyDescent="0.25">
      <c r="B44" s="350" t="s">
        <v>369</v>
      </c>
      <c r="C44" s="38"/>
      <c r="D44" s="38" t="s">
        <v>332</v>
      </c>
      <c r="E44" s="38">
        <f>COUNTIF(Table2[Course Title],Table311[[#This Row],[Courses - Planned vs Need (Active Courses)]])</f>
        <v>3</v>
      </c>
      <c r="F44" s="38">
        <v>100</v>
      </c>
      <c r="G44" s="38">
        <f>Table311[[#This Row],[Course Offerings]]*Table311[[#This Row],[Quota per Offering]]</f>
        <v>300</v>
      </c>
      <c r="H44" s="356">
        <v>0</v>
      </c>
      <c r="I44" s="351">
        <f t="shared" si="4"/>
        <v>300</v>
      </c>
      <c r="J44" s="352">
        <f>IFERROR(Table311[[#This Row],[Planned Quotas]]/Table311[[#This Row],[Fleet Quota Need]],100%)</f>
        <v>1</v>
      </c>
      <c r="K44" s="342">
        <f>SUMIF(Table2[Course Title],Table311[[#This Row],[Courses - Planned vs Need (Active Courses)]],Table2[Graduates])</f>
        <v>0</v>
      </c>
      <c r="L44" s="343">
        <f>SUMIF(Table2[Course Title],Table311[[#This Row],[Courses - Planned vs Need (Active Courses)]],Table2[Registered])</f>
        <v>0</v>
      </c>
      <c r="M44" s="343">
        <f>SUMIF(Table2[Course Title],Table311[[#This Row],[Courses - Planned vs Need (Active Courses)]],Table2[Waitlisted])</f>
        <v>0</v>
      </c>
      <c r="N44" s="343">
        <f>SUMIF(Table2[Course Title],Table311[[#This Row],[Courses - Planned vs Need (Active Courses)]],Table2[Walk-ins])</f>
        <v>0</v>
      </c>
      <c r="O44" s="38">
        <f>SUMIF(Table2[Course Title],Table311[[#This Row],[Courses - Planned vs Need (Active Courses)]],Table2[No Shows])</f>
        <v>0</v>
      </c>
      <c r="P44" s="344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4" s="344">
        <f>ROUNDDOWN(Table311[[#This Row],[To date quotas unused (Open quotas+ no shows)]]/Table311[[#This Row],[Quota per Offering]],0)</f>
        <v>0</v>
      </c>
      <c r="R44" s="38">
        <f t="shared" si="5"/>
        <v>300</v>
      </c>
      <c r="S44" s="344">
        <f ca="1">COUNTIFS(Table2[Course Title],Table311[[#This Row],[Courses - Planned vs Need (Active Courses)]],Table2[Roster Status],"1",Table2[Remaining Courses],"0")</f>
        <v>0</v>
      </c>
      <c r="T44" s="344">
        <f ca="1">COUNTIFS(Table2[Course Title],Table311[[#This Row],[Courses - Planned vs Need (Active Courses)]],Table2[Remaining Courses],"1")</f>
        <v>3</v>
      </c>
      <c r="U44" s="39">
        <f t="shared" si="6"/>
        <v>1</v>
      </c>
      <c r="V44" s="357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4" s="358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4" s="366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44" s="344">
        <f t="shared" ca="1" si="7"/>
        <v>300</v>
      </c>
      <c r="Z44" s="344">
        <f>Table311[[#This Row],[Fleet Quota Need]]-Table311[[#This Row],[Total Grads]]</f>
        <v>0</v>
      </c>
      <c r="AA44" s="359"/>
    </row>
    <row r="45" spans="2:27" ht="47.25" x14ac:dyDescent="0.25">
      <c r="B45" s="350" t="s">
        <v>384</v>
      </c>
      <c r="C45" s="38"/>
      <c r="D45" s="38" t="s">
        <v>332</v>
      </c>
      <c r="E45" s="38">
        <f>COUNTIF(Table2[Course Title],Table311[[#This Row],[Courses - Planned vs Need (Active Courses)]])</f>
        <v>3</v>
      </c>
      <c r="F45" s="38">
        <v>100</v>
      </c>
      <c r="G45" s="38">
        <f>Table311[[#This Row],[Course Offerings]]*Table311[[#This Row],[Quota per Offering]]</f>
        <v>300</v>
      </c>
      <c r="H45" s="356">
        <v>0</v>
      </c>
      <c r="I45" s="351">
        <f t="shared" si="4"/>
        <v>300</v>
      </c>
      <c r="J45" s="352">
        <f>IFERROR(Table311[[#This Row],[Planned Quotas]]/Table311[[#This Row],[Fleet Quota Need]],100%)</f>
        <v>1</v>
      </c>
      <c r="K45" s="342">
        <f>SUMIF(Table2[Course Title],Table311[[#This Row],[Courses - Planned vs Need (Active Courses)]],Table2[Graduates])</f>
        <v>0</v>
      </c>
      <c r="L45" s="343">
        <f>SUMIF(Table2[Course Title],Table311[[#This Row],[Courses - Planned vs Need (Active Courses)]],Table2[Registered])</f>
        <v>0</v>
      </c>
      <c r="M45" s="343">
        <f>SUMIF(Table2[Course Title],Table311[[#This Row],[Courses - Planned vs Need (Active Courses)]],Table2[Waitlisted])</f>
        <v>0</v>
      </c>
      <c r="N45" s="343">
        <f>SUMIF(Table2[Course Title],Table311[[#This Row],[Courses - Planned vs Need (Active Courses)]],Table2[Walk-ins])</f>
        <v>0</v>
      </c>
      <c r="O45" s="38">
        <f>SUMIF(Table2[Course Title],Table311[[#This Row],[Courses - Planned vs Need (Active Courses)]],Table2[No Shows])</f>
        <v>0</v>
      </c>
      <c r="P45" s="344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5" s="344">
        <f>ROUNDDOWN(Table311[[#This Row],[To date quotas unused (Open quotas+ no shows)]]/Table311[[#This Row],[Quota per Offering]],0)</f>
        <v>0</v>
      </c>
      <c r="R45" s="38">
        <f t="shared" si="5"/>
        <v>300</v>
      </c>
      <c r="S45" s="344">
        <f ca="1">COUNTIFS(Table2[Course Title],Table311[[#This Row],[Courses - Planned vs Need (Active Courses)]],Table2[Roster Status],"1",Table2[Remaining Courses],"0")</f>
        <v>0</v>
      </c>
      <c r="T45" s="344">
        <f ca="1">COUNTIFS(Table2[Course Title],Table311[[#This Row],[Courses - Planned vs Need (Active Courses)]],Table2[Remaining Courses],"1")</f>
        <v>3</v>
      </c>
      <c r="U45" s="39">
        <f t="shared" si="6"/>
        <v>1</v>
      </c>
      <c r="V45" s="357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5" s="358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5" s="366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45" s="344">
        <f t="shared" ca="1" si="7"/>
        <v>300</v>
      </c>
      <c r="Z45" s="344">
        <f>Table311[[#This Row],[Fleet Quota Need]]-Table311[[#This Row],[Total Grads]]</f>
        <v>0</v>
      </c>
      <c r="AA45" s="359"/>
    </row>
    <row r="46" spans="2:27" ht="31.5" x14ac:dyDescent="0.25">
      <c r="B46" s="350" t="s">
        <v>361</v>
      </c>
      <c r="C46" s="38"/>
      <c r="D46" s="38" t="s">
        <v>332</v>
      </c>
      <c r="E46" s="38">
        <f>COUNTIF(Table2[Course Title],Table311[[#This Row],[Courses - Planned vs Need (Active Courses)]])</f>
        <v>3</v>
      </c>
      <c r="F46" s="38">
        <v>100</v>
      </c>
      <c r="G46" s="38">
        <f>Table311[[#This Row],[Course Offerings]]*Table311[[#This Row],[Quota per Offering]]</f>
        <v>300</v>
      </c>
      <c r="H46" s="356">
        <v>0</v>
      </c>
      <c r="I46" s="351">
        <f t="shared" si="4"/>
        <v>300</v>
      </c>
      <c r="J46" s="352">
        <f>IFERROR(Table311[[#This Row],[Planned Quotas]]/Table311[[#This Row],[Fleet Quota Need]],100%)</f>
        <v>1</v>
      </c>
      <c r="K46" s="342">
        <f>SUMIF(Table2[Course Title],Table311[[#This Row],[Courses - Planned vs Need (Active Courses)]],Table2[Graduates])</f>
        <v>0</v>
      </c>
      <c r="L46" s="343">
        <f>SUMIF(Table2[Course Title],Table311[[#This Row],[Courses - Planned vs Need (Active Courses)]],Table2[Registered])</f>
        <v>0</v>
      </c>
      <c r="M46" s="343">
        <f>SUMIF(Table2[Course Title],Table311[[#This Row],[Courses - Planned vs Need (Active Courses)]],Table2[Waitlisted])</f>
        <v>0</v>
      </c>
      <c r="N46" s="343">
        <f>SUMIF(Table2[Course Title],Table311[[#This Row],[Courses - Planned vs Need (Active Courses)]],Table2[Walk-ins])</f>
        <v>0</v>
      </c>
      <c r="O46" s="38">
        <f>SUMIF(Table2[Course Title],Table311[[#This Row],[Courses - Planned vs Need (Active Courses)]],Table2[No Shows])</f>
        <v>0</v>
      </c>
      <c r="P46" s="344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6" s="344">
        <f>ROUNDDOWN(Table311[[#This Row],[To date quotas unused (Open quotas+ no shows)]]/Table311[[#This Row],[Quota per Offering]],0)</f>
        <v>0</v>
      </c>
      <c r="R46" s="38">
        <f t="shared" si="5"/>
        <v>300</v>
      </c>
      <c r="S46" s="344">
        <f ca="1">COUNTIFS(Table2[Course Title],Table311[[#This Row],[Courses - Planned vs Need (Active Courses)]],Table2[Roster Status],"1",Table2[Remaining Courses],"0")</f>
        <v>0</v>
      </c>
      <c r="T46" s="344">
        <f ca="1">COUNTIFS(Table2[Course Title],Table311[[#This Row],[Courses - Planned vs Need (Active Courses)]],Table2[Remaining Courses],"1")</f>
        <v>3</v>
      </c>
      <c r="U46" s="39">
        <f t="shared" si="6"/>
        <v>1</v>
      </c>
      <c r="V46" s="357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6" s="358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6" s="366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46" s="344">
        <f t="shared" ca="1" si="7"/>
        <v>300</v>
      </c>
      <c r="Z46" s="344">
        <f>Table311[[#This Row],[Fleet Quota Need]]-Table311[[#This Row],[Total Grads]]</f>
        <v>0</v>
      </c>
      <c r="AA46" s="359"/>
    </row>
    <row r="47" spans="2:27" ht="31.5" x14ac:dyDescent="0.25">
      <c r="B47" s="350" t="s">
        <v>378</v>
      </c>
      <c r="C47" s="38"/>
      <c r="D47" s="38" t="s">
        <v>332</v>
      </c>
      <c r="E47" s="38">
        <f>COUNTIF(Table2[Course Title],Table311[[#This Row],[Courses - Planned vs Need (Active Courses)]])</f>
        <v>0</v>
      </c>
      <c r="F47" s="38">
        <v>100</v>
      </c>
      <c r="G47" s="38">
        <f>Table311[[#This Row],[Course Offerings]]*Table311[[#This Row],[Quota per Offering]]</f>
        <v>0</v>
      </c>
      <c r="H47" s="356">
        <v>0</v>
      </c>
      <c r="I47" s="351">
        <f t="shared" si="4"/>
        <v>0</v>
      </c>
      <c r="J47" s="352">
        <f>IFERROR(Table311[[#This Row],[Planned Quotas]]/Table311[[#This Row],[Fleet Quota Need]],100%)</f>
        <v>1</v>
      </c>
      <c r="K47" s="342">
        <f>SUMIF(Table2[Course Title],Table311[[#This Row],[Courses - Planned vs Need (Active Courses)]],Table2[Graduates])</f>
        <v>0</v>
      </c>
      <c r="L47" s="343">
        <f>SUMIF(Table2[Course Title],Table311[[#This Row],[Courses - Planned vs Need (Active Courses)]],Table2[Registered])</f>
        <v>0</v>
      </c>
      <c r="M47" s="343">
        <f>SUMIF(Table2[Course Title],Table311[[#This Row],[Courses - Planned vs Need (Active Courses)]],Table2[Waitlisted])</f>
        <v>0</v>
      </c>
      <c r="N47" s="343">
        <f>SUMIF(Table2[Course Title],Table311[[#This Row],[Courses - Planned vs Need (Active Courses)]],Table2[Walk-ins])</f>
        <v>0</v>
      </c>
      <c r="O47" s="38">
        <f>SUMIF(Table2[Course Title],Table311[[#This Row],[Courses - Planned vs Need (Active Courses)]],Table2[No Shows])</f>
        <v>0</v>
      </c>
      <c r="P47" s="344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7" s="344">
        <f>ROUNDDOWN(Table311[[#This Row],[To date quotas unused (Open quotas+ no shows)]]/Table311[[#This Row],[Quota per Offering]],0)</f>
        <v>0</v>
      </c>
      <c r="R47" s="38">
        <f t="shared" si="5"/>
        <v>0</v>
      </c>
      <c r="S47" s="344">
        <f>COUNTIFS(Table2[Course Title],Table311[[#This Row],[Courses - Planned vs Need (Active Courses)]],Table2[Roster Status],"1",Table2[Remaining Courses],"0")</f>
        <v>0</v>
      </c>
      <c r="T47" s="344">
        <f>COUNTIFS(Table2[Course Title],Table311[[#This Row],[Courses - Planned vs Need (Active Courses)]],Table2[Remaining Courses],"1")</f>
        <v>0</v>
      </c>
      <c r="U47" s="39">
        <f t="shared" si="6"/>
        <v>1</v>
      </c>
      <c r="V47" s="357">
        <f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7" s="358">
        <f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7" s="366">
        <f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47" s="344">
        <f t="shared" si="7"/>
        <v>0</v>
      </c>
      <c r="Z47" s="344">
        <f>Table311[[#This Row],[Fleet Quota Need]]-Table311[[#This Row],[Total Grads]]</f>
        <v>0</v>
      </c>
      <c r="AA47" s="359"/>
    </row>
    <row r="48" spans="2:27" ht="31.5" x14ac:dyDescent="0.25">
      <c r="B48" s="350" t="s">
        <v>388</v>
      </c>
      <c r="C48" s="38"/>
      <c r="D48" s="38" t="s">
        <v>332</v>
      </c>
      <c r="E48" s="38">
        <f>COUNTIF(Table2[Course Title],Table311[[#This Row],[Courses - Planned vs Need (Active Courses)]])</f>
        <v>3</v>
      </c>
      <c r="F48" s="38">
        <v>100</v>
      </c>
      <c r="G48" s="38">
        <f>Table311[[#This Row],[Course Offerings]]*Table311[[#This Row],[Quota per Offering]]</f>
        <v>300</v>
      </c>
      <c r="H48" s="356">
        <v>0</v>
      </c>
      <c r="I48" s="351">
        <f t="shared" si="4"/>
        <v>300</v>
      </c>
      <c r="J48" s="352">
        <f>IFERROR(Table311[[#This Row],[Planned Quotas]]/Table311[[#This Row],[Fleet Quota Need]],100%)</f>
        <v>1</v>
      </c>
      <c r="K48" s="342">
        <f>SUMIF(Table2[Course Title],Table311[[#This Row],[Courses - Planned vs Need (Active Courses)]],Table2[Graduates])</f>
        <v>0</v>
      </c>
      <c r="L48" s="343">
        <f>SUMIF(Table2[Course Title],Table311[[#This Row],[Courses - Planned vs Need (Active Courses)]],Table2[Registered])</f>
        <v>0</v>
      </c>
      <c r="M48" s="343">
        <f>SUMIF(Table2[Course Title],Table311[[#This Row],[Courses - Planned vs Need (Active Courses)]],Table2[Waitlisted])</f>
        <v>0</v>
      </c>
      <c r="N48" s="343">
        <f>SUMIF(Table2[Course Title],Table311[[#This Row],[Courses - Planned vs Need (Active Courses)]],Table2[Walk-ins])</f>
        <v>0</v>
      </c>
      <c r="O48" s="38">
        <f>SUMIF(Table2[Course Title],Table311[[#This Row],[Courses - Planned vs Need (Active Courses)]],Table2[No Shows])</f>
        <v>0</v>
      </c>
      <c r="P48" s="344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8" s="344">
        <f>ROUNDDOWN(Table311[[#This Row],[To date quotas unused (Open quotas+ no shows)]]/Table311[[#This Row],[Quota per Offering]],0)</f>
        <v>0</v>
      </c>
      <c r="R48" s="38">
        <f t="shared" si="5"/>
        <v>300</v>
      </c>
      <c r="S48" s="344">
        <f ca="1">COUNTIFS(Table2[Course Title],Table311[[#This Row],[Courses - Planned vs Need (Active Courses)]],Table2[Roster Status],"1",Table2[Remaining Courses],"0")</f>
        <v>0</v>
      </c>
      <c r="T48" s="344">
        <f ca="1">COUNTIFS(Table2[Course Title],Table311[[#This Row],[Courses - Planned vs Need (Active Courses)]],Table2[Remaining Courses],"1")</f>
        <v>3</v>
      </c>
      <c r="U48" s="39">
        <f t="shared" si="6"/>
        <v>1</v>
      </c>
      <c r="V48" s="357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8" s="358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8" s="366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48" s="344">
        <f t="shared" ca="1" si="7"/>
        <v>300</v>
      </c>
      <c r="Z48" s="344">
        <f>Table311[[#This Row],[Fleet Quota Need]]-Table311[[#This Row],[Total Grads]]</f>
        <v>0</v>
      </c>
      <c r="AA48" s="359"/>
    </row>
    <row r="49" spans="2:27" ht="31.5" x14ac:dyDescent="0.25">
      <c r="B49" s="350" t="s">
        <v>381</v>
      </c>
      <c r="C49" s="38"/>
      <c r="D49" s="38" t="s">
        <v>332</v>
      </c>
      <c r="E49" s="38">
        <f>COUNTIF(Table2[Course Title],Table311[[#This Row],[Courses - Planned vs Need (Active Courses)]])</f>
        <v>0</v>
      </c>
      <c r="F49" s="38">
        <v>100</v>
      </c>
      <c r="G49" s="38">
        <f>Table311[[#This Row],[Course Offerings]]*Table311[[#This Row],[Quota per Offering]]</f>
        <v>0</v>
      </c>
      <c r="H49" s="356">
        <v>0</v>
      </c>
      <c r="I49" s="351">
        <f t="shared" si="4"/>
        <v>0</v>
      </c>
      <c r="J49" s="352">
        <f>IFERROR(Table311[[#This Row],[Planned Quotas]]/Table311[[#This Row],[Fleet Quota Need]],100%)</f>
        <v>1</v>
      </c>
      <c r="K49" s="342">
        <f>SUMIF(Table2[Course Title],Table311[[#This Row],[Courses - Planned vs Need (Active Courses)]],Table2[Graduates])</f>
        <v>0</v>
      </c>
      <c r="L49" s="343">
        <f>SUMIF(Table2[Course Title],Table311[[#This Row],[Courses - Planned vs Need (Active Courses)]],Table2[Registered])</f>
        <v>0</v>
      </c>
      <c r="M49" s="343">
        <f>SUMIF(Table2[Course Title],Table311[[#This Row],[Courses - Planned vs Need (Active Courses)]],Table2[Waitlisted])</f>
        <v>0</v>
      </c>
      <c r="N49" s="343">
        <f>SUMIF(Table2[Course Title],Table311[[#This Row],[Courses - Planned vs Need (Active Courses)]],Table2[Walk-ins])</f>
        <v>0</v>
      </c>
      <c r="O49" s="38">
        <f>SUMIF(Table2[Course Title],Table311[[#This Row],[Courses - Planned vs Need (Active Courses)]],Table2[No Shows])</f>
        <v>0</v>
      </c>
      <c r="P49" s="344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9" s="344">
        <f>ROUNDDOWN(Table311[[#This Row],[To date quotas unused (Open quotas+ no shows)]]/Table311[[#This Row],[Quota per Offering]],0)</f>
        <v>0</v>
      </c>
      <c r="R49" s="38">
        <f t="shared" si="5"/>
        <v>0</v>
      </c>
      <c r="S49" s="344">
        <f>COUNTIFS(Table2[Course Title],Table311[[#This Row],[Courses - Planned vs Need (Active Courses)]],Table2[Roster Status],"1",Table2[Remaining Courses],"0")</f>
        <v>0</v>
      </c>
      <c r="T49" s="344">
        <f>COUNTIFS(Table2[Course Title],Table311[[#This Row],[Courses - Planned vs Need (Active Courses)]],Table2[Remaining Courses],"1")</f>
        <v>0</v>
      </c>
      <c r="U49" s="39">
        <f t="shared" si="6"/>
        <v>1</v>
      </c>
      <c r="V49" s="357">
        <f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9" s="358">
        <f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9" s="366">
        <f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49" s="344">
        <f t="shared" si="7"/>
        <v>0</v>
      </c>
      <c r="Z49" s="344">
        <f>Table311[[#This Row],[Fleet Quota Need]]-Table311[[#This Row],[Total Grads]]</f>
        <v>0</v>
      </c>
      <c r="AA49" s="359"/>
    </row>
    <row r="50" spans="2:27" ht="15.75" x14ac:dyDescent="0.25">
      <c r="B50" s="350" t="s">
        <v>329</v>
      </c>
      <c r="C50" s="38"/>
      <c r="D50" s="38" t="s">
        <v>332</v>
      </c>
      <c r="E50" s="38">
        <f>COUNTIF(Table2[Course Title],Table311[[#This Row],[Courses - Planned vs Need (Active Courses)]])</f>
        <v>4</v>
      </c>
      <c r="F50" s="38">
        <v>30</v>
      </c>
      <c r="G50" s="38">
        <f>Table311[[#This Row],[Course Offerings]]*Table311[[#This Row],[Quota per Offering]]</f>
        <v>120</v>
      </c>
      <c r="H50" s="356">
        <v>704</v>
      </c>
      <c r="I50" s="351">
        <f t="shared" si="4"/>
        <v>-584</v>
      </c>
      <c r="J50" s="352">
        <f>IFERROR(Table311[[#This Row],[Planned Quotas]]/Table311[[#This Row],[Fleet Quota Need]],100%)</f>
        <v>0.17045454545454544</v>
      </c>
      <c r="K50" s="342">
        <f>SUMIF(Table2[Course Title],Table311[[#This Row],[Courses - Planned vs Need (Active Courses)]],Table2[Graduates])</f>
        <v>0</v>
      </c>
      <c r="L50" s="343">
        <f>SUMIF(Table2[Course Title],Table311[[#This Row],[Courses - Planned vs Need (Active Courses)]],Table2[Registered])</f>
        <v>0</v>
      </c>
      <c r="M50" s="343">
        <f>SUMIF(Table2[Course Title],Table311[[#This Row],[Courses - Planned vs Need (Active Courses)]],Table2[Waitlisted])</f>
        <v>0</v>
      </c>
      <c r="N50" s="343">
        <f>SUMIF(Table2[Course Title],Table311[[#This Row],[Courses - Planned vs Need (Active Courses)]],Table2[Walk-ins])</f>
        <v>0</v>
      </c>
      <c r="O50" s="38">
        <f>SUMIF(Table2[Course Title],Table311[[#This Row],[Courses - Planned vs Need (Active Courses)]],Table2[No Shows])</f>
        <v>0</v>
      </c>
      <c r="P50" s="344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50" s="344">
        <f>ROUNDDOWN(Table311[[#This Row],[To date quotas unused (Open quotas+ no shows)]]/Table311[[#This Row],[Quota per Offering]],0)</f>
        <v>0</v>
      </c>
      <c r="R50" s="38">
        <f t="shared" si="5"/>
        <v>120</v>
      </c>
      <c r="S50" s="344">
        <f ca="1">COUNTIFS(Table2[Course Title],Table311[[#This Row],[Courses - Planned vs Need (Active Courses)]],Table2[Roster Status],"1",Table2[Remaining Courses],"0")</f>
        <v>0</v>
      </c>
      <c r="T50" s="344">
        <f ca="1">COUNTIFS(Table2[Course Title],Table311[[#This Row],[Courses - Planned vs Need (Active Courses)]],Table2[Remaining Courses],"1")</f>
        <v>4</v>
      </c>
      <c r="U50" s="39">
        <f t="shared" si="6"/>
        <v>0</v>
      </c>
      <c r="V50" s="357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50" s="358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50" s="343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50" s="344">
        <f t="shared" ca="1" si="7"/>
        <v>120</v>
      </c>
      <c r="Z50" s="344">
        <f>Table311[[#This Row],[Fleet Quota Need]]-Table311[[#This Row],[Total Grads]]</f>
        <v>704</v>
      </c>
      <c r="AA50" s="359"/>
    </row>
    <row r="51" spans="2:27" ht="31.5" x14ac:dyDescent="0.25">
      <c r="B51" s="350" t="s">
        <v>40</v>
      </c>
      <c r="C51" s="38"/>
      <c r="D51" s="38" t="s">
        <v>332</v>
      </c>
      <c r="E51" s="38">
        <f>COUNTIF(Table2[Course Title],Table311[[#This Row],[Courses - Planned vs Need (Active Courses)]])</f>
        <v>11</v>
      </c>
      <c r="F51" s="38">
        <v>100</v>
      </c>
      <c r="G51" s="38">
        <f>Table311[[#This Row],[Course Offerings]]*Table311[[#This Row],[Quota per Offering]]</f>
        <v>1100</v>
      </c>
      <c r="H51" s="347">
        <v>2261</v>
      </c>
      <c r="I51" s="38">
        <f t="shared" si="4"/>
        <v>-1161</v>
      </c>
      <c r="J51" s="352">
        <f>IFERROR(Table311[[#This Row],[Planned Quotas]]/Table311[[#This Row],[Fleet Quota Need]],100%)</f>
        <v>0.48651039363113668</v>
      </c>
      <c r="K51" s="342">
        <f>SUMIF(Table2[Course Title],Table311[[#This Row],[Courses - Planned vs Need (Active Courses)]],Table2[Graduates])</f>
        <v>0</v>
      </c>
      <c r="L51" s="343">
        <f>SUMIF(Table2[Course Title],Table311[[#This Row],[Courses - Planned vs Need (Active Courses)]],Table2[Registered])</f>
        <v>0</v>
      </c>
      <c r="M51" s="343">
        <f>SUMIF(Table2[Course Title],Table311[[#This Row],[Courses - Planned vs Need (Active Courses)]],Table2[Waitlisted])</f>
        <v>0</v>
      </c>
      <c r="N51" s="343">
        <f>SUMIF(Table2[Course Title],Table311[[#This Row],[Courses - Planned vs Need (Active Courses)]],Table2[Walk-ins])</f>
        <v>0</v>
      </c>
      <c r="O51" s="38">
        <f>SUMIF(Table2[Course Title],Table311[[#This Row],[Courses - Planned vs Need (Active Courses)]],Table2[No Shows])</f>
        <v>0</v>
      </c>
      <c r="P51" s="38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51" s="344">
        <f>ROUNDDOWN(Table311[[#This Row],[To date quotas unused (Open quotas+ no shows)]]/Table311[[#This Row],[Quota per Offering]],0)</f>
        <v>0</v>
      </c>
      <c r="R51" s="38">
        <f t="shared" si="5"/>
        <v>1100</v>
      </c>
      <c r="S51" s="344">
        <f ca="1">COUNTIFS(Table2[Course Title],Table311[[#This Row],[Courses - Planned vs Need (Active Courses)]],Table2[Roster Status],"1",Table2[Remaining Courses],"0")</f>
        <v>0</v>
      </c>
      <c r="T51" s="344">
        <f ca="1">COUNTIFS(Table2[Course Title],Table311[[#This Row],[Courses - Planned vs Need (Active Courses)]],Table2[Remaining Courses],"1")</f>
        <v>11</v>
      </c>
      <c r="U51" s="39">
        <f t="shared" si="6"/>
        <v>0</v>
      </c>
      <c r="V51" s="357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51" s="358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51" s="343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51" s="344">
        <f t="shared" ca="1" si="7"/>
        <v>1100</v>
      </c>
      <c r="Z51" s="344">
        <f>Table311[[#This Row],[Fleet Quota Need]]-Table311[[#This Row],[Total Grads]]</f>
        <v>2261</v>
      </c>
      <c r="AA51" s="359"/>
    </row>
    <row r="52" spans="2:27" ht="15.75" x14ac:dyDescent="0.25">
      <c r="B52" s="350" t="s">
        <v>334</v>
      </c>
      <c r="C52" s="38"/>
      <c r="D52" s="38" t="s">
        <v>263</v>
      </c>
      <c r="E52" s="38">
        <f>COUNTIF(Table2[Course Title],Table311[[#This Row],[Courses - Planned vs Need (Active Courses)]])</f>
        <v>8</v>
      </c>
      <c r="F52" s="38">
        <v>30</v>
      </c>
      <c r="G52" s="38">
        <f>Table311[[#This Row],[Course Offerings]]*Table311[[#This Row],[Quota per Offering]]</f>
        <v>240</v>
      </c>
      <c r="H52" s="356">
        <v>0</v>
      </c>
      <c r="I52" s="351">
        <f t="shared" si="4"/>
        <v>240</v>
      </c>
      <c r="J52" s="352">
        <f>IFERROR(Table311[[#This Row],[Planned Quotas]]/Table311[[#This Row],[Fleet Quota Need]],100%)</f>
        <v>1</v>
      </c>
      <c r="K52" s="342">
        <f>SUMIF(Table2[Course Title],Table311[[#This Row],[Courses - Planned vs Need (Active Courses)]],Table2[Graduates])</f>
        <v>0</v>
      </c>
      <c r="L52" s="343">
        <f>SUMIF(Table2[Course Title],Table311[[#This Row],[Courses - Planned vs Need (Active Courses)]],Table2[Registered])</f>
        <v>0</v>
      </c>
      <c r="M52" s="343">
        <f>SUMIF(Table2[Course Title],Table311[[#This Row],[Courses - Planned vs Need (Active Courses)]],Table2[Waitlisted])</f>
        <v>0</v>
      </c>
      <c r="N52" s="343">
        <f>SUMIF(Table2[Course Title],Table311[[#This Row],[Courses - Planned vs Need (Active Courses)]],Table2[Walk-ins])</f>
        <v>0</v>
      </c>
      <c r="O52" s="38">
        <f>SUMIF(Table2[Course Title],Table311[[#This Row],[Courses - Planned vs Need (Active Courses)]],Table2[No Shows])</f>
        <v>0</v>
      </c>
      <c r="P52" s="344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52" s="344">
        <f>ROUNDDOWN(Table311[[#This Row],[To date quotas unused (Open quotas+ no shows)]]/Table311[[#This Row],[Quota per Offering]],0)</f>
        <v>0</v>
      </c>
      <c r="R52" s="38">
        <f t="shared" si="5"/>
        <v>240</v>
      </c>
      <c r="S52" s="344">
        <f ca="1">COUNTIFS(Table2[Course Title],Table311[[#This Row],[Courses - Planned vs Need (Active Courses)]],Table2[Roster Status],"1",Table2[Remaining Courses],"0")</f>
        <v>0</v>
      </c>
      <c r="T52" s="344">
        <f ca="1">COUNTIFS(Table2[Course Title],Table311[[#This Row],[Courses - Planned vs Need (Active Courses)]],Table2[Remaining Courses],"1")</f>
        <v>8</v>
      </c>
      <c r="U52" s="39">
        <f t="shared" si="6"/>
        <v>1</v>
      </c>
      <c r="V52" s="357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52" s="358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52" s="343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52" s="344">
        <f t="shared" ca="1" si="7"/>
        <v>240</v>
      </c>
      <c r="Z52" s="344">
        <f>Table311[[#This Row],[Fleet Quota Need]]-Table311[[#This Row],[Total Grads]]</f>
        <v>0</v>
      </c>
      <c r="AA52" s="359"/>
    </row>
    <row r="53" spans="2:27" ht="31.5" x14ac:dyDescent="0.25">
      <c r="B53" s="350" t="s">
        <v>54</v>
      </c>
      <c r="C53" s="38"/>
      <c r="D53" s="38" t="s">
        <v>332</v>
      </c>
      <c r="E53" s="38">
        <f>COUNTIF(Table2[Course Title],Table311[[#This Row],[Courses - Planned vs Need (Active Courses)]])</f>
        <v>5</v>
      </c>
      <c r="F53" s="38">
        <v>25</v>
      </c>
      <c r="G53" s="38">
        <f>Table311[[#This Row],[Course Offerings]]*Table311[[#This Row],[Quota per Offering]]</f>
        <v>125</v>
      </c>
      <c r="H53" s="347">
        <v>120</v>
      </c>
      <c r="I53" s="38">
        <f t="shared" si="4"/>
        <v>5</v>
      </c>
      <c r="J53" s="352">
        <f>IFERROR(Table311[[#This Row],[Planned Quotas]]/Table311[[#This Row],[Fleet Quota Need]],100%)</f>
        <v>1.0416666666666667</v>
      </c>
      <c r="K53" s="342">
        <f>SUMIF(Table2[Course Title],Table311[[#This Row],[Courses - Planned vs Need (Active Courses)]],Table2[Graduates])</f>
        <v>0</v>
      </c>
      <c r="L53" s="343">
        <f>SUMIF(Table2[Course Title],Table311[[#This Row],[Courses - Planned vs Need (Active Courses)]],Table2[Registered])</f>
        <v>0</v>
      </c>
      <c r="M53" s="343">
        <f>SUMIF(Table2[Course Title],Table311[[#This Row],[Courses - Planned vs Need (Active Courses)]],Table2[Waitlisted])</f>
        <v>0</v>
      </c>
      <c r="N53" s="343">
        <f>SUMIF(Table2[Course Title],Table311[[#This Row],[Courses - Planned vs Need (Active Courses)]],Table2[Walk-ins])</f>
        <v>0</v>
      </c>
      <c r="O53" s="38">
        <f>SUMIF(Table2[Course Title],Table311[[#This Row],[Courses - Planned vs Need (Active Courses)]],Table2[No Shows])</f>
        <v>0</v>
      </c>
      <c r="P53" s="38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53" s="344">
        <f>ROUNDDOWN(Table311[[#This Row],[To date quotas unused (Open quotas+ no shows)]]/Table311[[#This Row],[Quota per Offering]],0)</f>
        <v>0</v>
      </c>
      <c r="R53" s="38">
        <f t="shared" si="5"/>
        <v>125</v>
      </c>
      <c r="S53" s="344">
        <f ca="1">COUNTIFS(Table2[Course Title],Table311[[#This Row],[Courses - Planned vs Need (Active Courses)]],Table2[Roster Status],"1",Table2[Remaining Courses],"0")</f>
        <v>0</v>
      </c>
      <c r="T53" s="344">
        <f ca="1">COUNTIFS(Table2[Course Title],Table311[[#This Row],[Courses - Planned vs Need (Active Courses)]],Table2[Remaining Courses],"1")</f>
        <v>5</v>
      </c>
      <c r="U53" s="39">
        <f t="shared" si="6"/>
        <v>0</v>
      </c>
      <c r="V53" s="357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53" s="358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53" s="343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53" s="344">
        <f t="shared" ca="1" si="7"/>
        <v>125</v>
      </c>
      <c r="Z53" s="344">
        <f>Table311[[#This Row],[Fleet Quota Need]]-Table311[[#This Row],[Total Grads]]</f>
        <v>120</v>
      </c>
      <c r="AA53" s="359"/>
    </row>
    <row r="54" spans="2:27" ht="15.75" x14ac:dyDescent="0.25">
      <c r="B54" s="444" t="s">
        <v>36</v>
      </c>
      <c r="C54" s="36" t="s">
        <v>18</v>
      </c>
      <c r="D54" s="36" t="s">
        <v>228</v>
      </c>
      <c r="E54" s="36">
        <f>COUNTIF(Table2[Course Title],Table311[[#This Row],[Courses - Planned vs Need (Active Courses)]])</f>
        <v>7</v>
      </c>
      <c r="F54" s="36">
        <v>25</v>
      </c>
      <c r="G54" s="36">
        <f>Table311[[#This Row],[Course Offerings]]*Table311[[#This Row],[Quota per Offering]]</f>
        <v>175</v>
      </c>
      <c r="H54" s="140">
        <v>610</v>
      </c>
      <c r="I54" s="36">
        <f t="shared" si="4"/>
        <v>-435</v>
      </c>
      <c r="J54" s="355">
        <f>IFERROR(Table311[[#This Row],[Planned Quotas]]/Table311[[#This Row],[Fleet Quota Need]],100%)</f>
        <v>0.28688524590163933</v>
      </c>
      <c r="K54" s="36">
        <f>SUMIF(Table2[Course Title],Table311[[#This Row],[Courses - Planned vs Need (Active Courses)]],Table2[Graduates])</f>
        <v>0</v>
      </c>
      <c r="L54" s="36">
        <f>SUMIF(Table2[Course Title],Table311[[#This Row],[Courses - Planned vs Need (Active Courses)]],Table2[Registered])</f>
        <v>0</v>
      </c>
      <c r="M54" s="36">
        <f>SUMIF(Table2[Course Title],Table311[[#This Row],[Courses - Planned vs Need (Active Courses)]],Table2[Waitlisted])</f>
        <v>0</v>
      </c>
      <c r="N54" s="36">
        <f>SUMIF(Table2[Course Title],Table311[[#This Row],[Courses - Planned vs Need (Active Courses)]],Table2[Walk-ins])</f>
        <v>0</v>
      </c>
      <c r="O54" s="36">
        <f>SUMIF(Table2[Course Title],Table311[[#This Row],[Courses - Planned vs Need (Active Courses)]],Table2[No Shows])</f>
        <v>0</v>
      </c>
      <c r="P54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54" s="37">
        <f>ROUNDDOWN(Table311[[#This Row],[To date quotas unused (Open quotas+ no shows)]]/Table311[[#This Row],[Quota per Offering]],0)</f>
        <v>0</v>
      </c>
      <c r="R54" s="36">
        <f t="shared" si="5"/>
        <v>175</v>
      </c>
      <c r="S54" s="37">
        <f>COUNTIFS(Table2[Course Title],Table311[[#This Row],[Courses - Planned vs Need (Active Courses)]],Table2[Roster Status],"1",Table2[Remaining Courses],"0")</f>
        <v>0</v>
      </c>
      <c r="T54" s="37">
        <f>COUNTIFS(Table2[Course Title],Table311[[#This Row],[Courses - Planned vs Need (Active Courses)]],Table2[Remaining Courses],"1")</f>
        <v>7</v>
      </c>
      <c r="U54" s="39">
        <f t="shared" si="6"/>
        <v>0</v>
      </c>
      <c r="V54" s="39">
        <f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54" s="39">
        <f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54" s="36">
        <f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54" s="37">
        <f t="shared" si="7"/>
        <v>175</v>
      </c>
      <c r="Z54" s="37">
        <f>Table311[[#This Row],[Fleet Quota Need]]-Table311[[#This Row],[Total Grads]]</f>
        <v>610</v>
      </c>
      <c r="AA54" s="24"/>
    </row>
    <row r="55" spans="2:27" ht="16.5" thickBot="1" x14ac:dyDescent="0.3">
      <c r="B55" s="348" t="s">
        <v>62</v>
      </c>
      <c r="C55" s="72"/>
      <c r="D55" s="72"/>
      <c r="E55" s="72">
        <f>SUM(Table311[Course Offerings])</f>
        <v>487</v>
      </c>
      <c r="F55" s="72">
        <f>SUM(Table311[Quota per Offering])</f>
        <v>2480</v>
      </c>
      <c r="G55" s="72">
        <f>SUM(Table311[Planned Quotas])</f>
        <v>19930</v>
      </c>
      <c r="H55" s="72">
        <f>SUM(Table311[Fleet Quota Need])</f>
        <v>30657</v>
      </c>
      <c r="I55" s="72">
        <f>SUM(Table311[Difference])</f>
        <v>-10727</v>
      </c>
      <c r="J55" s="349">
        <f>G55/H55</f>
        <v>0.65009622598427763</v>
      </c>
      <c r="K55" s="73">
        <f>SUM(Table311[Total Grads])</f>
        <v>0</v>
      </c>
      <c r="L55" s="73">
        <f>SUM(Table311[Total Registered])</f>
        <v>0</v>
      </c>
      <c r="M55" s="73">
        <f>SUM(Table311[Total Waitlisted])</f>
        <v>0</v>
      </c>
      <c r="N55" s="73">
        <f>SUM(Table311[Total Walk-in])</f>
        <v>0</v>
      </c>
      <c r="O55" s="73">
        <f>SUM(Table311[No Shows])</f>
        <v>0</v>
      </c>
      <c r="P55" s="73">
        <f>SUM(Table311[To date quotas unused (Open quotas+ no shows)])</f>
        <v>1000</v>
      </c>
      <c r="Q55" s="73">
        <f>SUM(Table311[Sunk Courses due to unused quotas todate])</f>
        <v>25</v>
      </c>
      <c r="R55" s="353">
        <f>SUM(Table311[Grads needed this FY towards planned quotas])</f>
        <v>19930</v>
      </c>
      <c r="S55" s="73">
        <f ca="1">SUM(Table311['# of course completion reports to be processed])</f>
        <v>0</v>
      </c>
      <c r="T55" s="73">
        <f ca="1">SUM(Table311['# of courses remaining])</f>
        <v>455</v>
      </c>
      <c r="U55" s="354">
        <f>K55/H55</f>
        <v>0</v>
      </c>
      <c r="V55" s="354"/>
      <c r="W55" s="354"/>
      <c r="X55" s="345">
        <f ca="1">SUM(Table311[Remaining FY26 QTR 1 Open Quotas])</f>
        <v>0</v>
      </c>
      <c r="Y55" s="346">
        <f ca="1">SUM(Table311['# of additional grads if all quotas are filled of course results remaining to be processed])</f>
        <v>18650</v>
      </c>
      <c r="Z55" s="346">
        <f>SUM(Table311[Difference between completed and fleet need of completed, potentially remaining quotas, and processed courses])</f>
        <v>30657</v>
      </c>
      <c r="AA55" s="345"/>
    </row>
  </sheetData>
  <mergeCells count="3">
    <mergeCell ref="B3:J3"/>
    <mergeCell ref="K3:U3"/>
    <mergeCell ref="X3:AA3"/>
  </mergeCells>
  <conditionalFormatting sqref="C5:G54 I5:I54 K5:O54 R5:U54 Y5:Z54">
    <cfRule type="cellIs" dxfId="917" priority="6" operator="lessThan">
      <formula>0</formula>
    </cfRule>
  </conditionalFormatting>
  <conditionalFormatting sqref="J5:J54 U5:U54">
    <cfRule type="cellIs" dxfId="916" priority="5" operator="lessThan">
      <formula>1</formula>
    </cfRule>
  </conditionalFormatting>
  <conditionalFormatting sqref="X5:X54">
    <cfRule type="cellIs" dxfId="915" priority="1" operator="greaterThan">
      <formula>0</formula>
    </cfRule>
  </conditionalFormatting>
  <pageMargins left="0.25" right="0.25" top="0.75" bottom="0.75" header="0.3" footer="0.3"/>
  <pageSetup paperSize="5" scale="28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'TSD-Data'!$A$2:$A$69</xm:f>
          </x14:formula1>
          <xm:sqref>B5:B54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4D047-F1F1-4A06-8D0E-D2CE7897CA1A}">
  <sheetPr>
    <tabColor rgb="FFFF0000"/>
  </sheetPr>
  <dimension ref="A1:C19"/>
  <sheetViews>
    <sheetView workbookViewId="0">
      <selection activeCell="B31" sqref="B31"/>
    </sheetView>
  </sheetViews>
  <sheetFormatPr defaultRowHeight="15" x14ac:dyDescent="0.25"/>
  <cols>
    <col min="1" max="1" width="22.7109375" bestFit="1" customWidth="1"/>
    <col min="2" max="2" width="53.85546875" bestFit="1" customWidth="1"/>
    <col min="3" max="3" width="16.42578125" bestFit="1" customWidth="1"/>
    <col min="4" max="4" width="14" bestFit="1" customWidth="1"/>
    <col min="5" max="5" width="17.28515625" bestFit="1" customWidth="1"/>
    <col min="6" max="6" width="19" bestFit="1" customWidth="1"/>
    <col min="7" max="7" width="22.28515625" bestFit="1" customWidth="1"/>
    <col min="8" max="8" width="16.42578125" bestFit="1" customWidth="1"/>
    <col min="9" max="9" width="19.7109375" bestFit="1" customWidth="1"/>
    <col min="10" max="10" width="14" bestFit="1" customWidth="1"/>
    <col min="11" max="11" width="17.28515625" bestFit="1" customWidth="1"/>
    <col min="12" max="12" width="16.42578125" bestFit="1" customWidth="1"/>
    <col min="13" max="13" width="19.7109375" bestFit="1" customWidth="1"/>
    <col min="14" max="14" width="14" bestFit="1" customWidth="1"/>
    <col min="15" max="15" width="17.28515625" bestFit="1" customWidth="1"/>
    <col min="16" max="16" width="16.42578125" bestFit="1" customWidth="1"/>
    <col min="17" max="17" width="19.7109375" bestFit="1" customWidth="1"/>
    <col min="18" max="18" width="14" bestFit="1" customWidth="1"/>
    <col min="19" max="19" width="17.28515625" bestFit="1" customWidth="1"/>
    <col min="20" max="20" width="16.42578125" bestFit="1" customWidth="1"/>
    <col min="21" max="21" width="19.7109375" bestFit="1" customWidth="1"/>
    <col min="22" max="22" width="14" bestFit="1" customWidth="1"/>
    <col min="23" max="23" width="17.28515625" bestFit="1" customWidth="1"/>
    <col min="24" max="24" width="16.42578125" bestFit="1" customWidth="1"/>
    <col min="25" max="25" width="19.7109375" bestFit="1" customWidth="1"/>
    <col min="26" max="26" width="14" bestFit="1" customWidth="1"/>
    <col min="27" max="27" width="17.28515625" bestFit="1" customWidth="1"/>
    <col min="28" max="28" width="17.5703125" bestFit="1" customWidth="1"/>
    <col min="29" max="29" width="20.7109375" bestFit="1" customWidth="1"/>
    <col min="30" max="30" width="19" bestFit="1" customWidth="1"/>
    <col min="31" max="31" width="22.28515625" bestFit="1" customWidth="1"/>
  </cols>
  <sheetData>
    <row r="1" spans="1:3" x14ac:dyDescent="0.25">
      <c r="A1" s="6" t="s">
        <v>188</v>
      </c>
      <c r="B1" t="s">
        <v>55</v>
      </c>
    </row>
    <row r="2" spans="1:3" x14ac:dyDescent="0.25">
      <c r="B2" s="50" t="s">
        <v>555</v>
      </c>
      <c r="C2" s="50" t="s">
        <v>556</v>
      </c>
    </row>
    <row r="3" spans="1:3" x14ac:dyDescent="0.25">
      <c r="A3" s="6" t="s">
        <v>557</v>
      </c>
      <c r="B3" t="s">
        <v>558</v>
      </c>
      <c r="C3" t="s">
        <v>559</v>
      </c>
    </row>
    <row r="4" spans="1:3" x14ac:dyDescent="0.25">
      <c r="A4" s="4" t="s">
        <v>159</v>
      </c>
      <c r="B4">
        <v>25</v>
      </c>
      <c r="C4">
        <v>33</v>
      </c>
    </row>
    <row r="5" spans="1:3" x14ac:dyDescent="0.25">
      <c r="A5" s="4" t="s">
        <v>160</v>
      </c>
      <c r="B5">
        <v>25</v>
      </c>
      <c r="C5">
        <v>0</v>
      </c>
    </row>
    <row r="6" spans="1:3" x14ac:dyDescent="0.25">
      <c r="A6" s="4" t="s">
        <v>165</v>
      </c>
      <c r="B6">
        <v>25</v>
      </c>
      <c r="C6">
        <v>67</v>
      </c>
    </row>
    <row r="7" spans="1:3" x14ac:dyDescent="0.25">
      <c r="A7" s="4" t="s">
        <v>166</v>
      </c>
      <c r="B7">
        <v>25</v>
      </c>
      <c r="C7">
        <v>67</v>
      </c>
    </row>
    <row r="8" spans="1:3" x14ac:dyDescent="0.25">
      <c r="A8" s="4" t="s">
        <v>167</v>
      </c>
      <c r="B8">
        <v>75</v>
      </c>
      <c r="C8">
        <v>49</v>
      </c>
    </row>
    <row r="9" spans="1:3" x14ac:dyDescent="0.25">
      <c r="A9" s="4" t="s">
        <v>169</v>
      </c>
      <c r="B9">
        <v>200</v>
      </c>
      <c r="C9">
        <v>476</v>
      </c>
    </row>
    <row r="10" spans="1:3" x14ac:dyDescent="0.25">
      <c r="A10" s="4" t="s">
        <v>170</v>
      </c>
      <c r="B10">
        <v>25</v>
      </c>
      <c r="C10">
        <v>476</v>
      </c>
    </row>
    <row r="11" spans="1:3" x14ac:dyDescent="0.25">
      <c r="A11" s="4" t="s">
        <v>184</v>
      </c>
      <c r="B11">
        <v>50</v>
      </c>
      <c r="C11">
        <v>476</v>
      </c>
    </row>
    <row r="12" spans="1:3" x14ac:dyDescent="0.25">
      <c r="A12" s="4" t="s">
        <v>173</v>
      </c>
      <c r="B12">
        <v>50</v>
      </c>
      <c r="C12">
        <v>9</v>
      </c>
    </row>
    <row r="13" spans="1:3" x14ac:dyDescent="0.25">
      <c r="A13" s="4" t="s">
        <v>174</v>
      </c>
      <c r="B13">
        <v>50</v>
      </c>
      <c r="C13">
        <v>84</v>
      </c>
    </row>
    <row r="14" spans="1:3" x14ac:dyDescent="0.25">
      <c r="A14" s="4" t="s">
        <v>175</v>
      </c>
      <c r="B14">
        <v>50</v>
      </c>
      <c r="C14">
        <v>11</v>
      </c>
    </row>
    <row r="15" spans="1:3" x14ac:dyDescent="0.25">
      <c r="A15" s="4" t="s">
        <v>176</v>
      </c>
      <c r="B15">
        <v>150</v>
      </c>
      <c r="C15">
        <v>429</v>
      </c>
    </row>
    <row r="16" spans="1:3" x14ac:dyDescent="0.25">
      <c r="A16" s="4" t="s">
        <v>185</v>
      </c>
      <c r="B16">
        <v>50</v>
      </c>
      <c r="C16">
        <v>7</v>
      </c>
    </row>
    <row r="17" spans="1:3" x14ac:dyDescent="0.25">
      <c r="A17" s="4" t="s">
        <v>178</v>
      </c>
      <c r="B17">
        <v>50</v>
      </c>
      <c r="C17">
        <v>55</v>
      </c>
    </row>
    <row r="18" spans="1:3" x14ac:dyDescent="0.25">
      <c r="A18" s="4" t="s">
        <v>179</v>
      </c>
      <c r="B18">
        <v>50</v>
      </c>
      <c r="C18">
        <v>107</v>
      </c>
    </row>
    <row r="19" spans="1:3" x14ac:dyDescent="0.25">
      <c r="A19" s="4" t="s">
        <v>186</v>
      </c>
      <c r="B19">
        <v>900</v>
      </c>
      <c r="C19">
        <v>0</v>
      </c>
    </row>
  </sheetData>
  <pageMargins left="0.7" right="0.7" top="0.75" bottom="0.75" header="0.3" footer="0.3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">
    <tabColor theme="8"/>
    <pageSetUpPr fitToPage="1"/>
  </sheetPr>
  <dimension ref="A1:AM514"/>
  <sheetViews>
    <sheetView zoomScale="80" zoomScaleNormal="80" workbookViewId="0">
      <selection activeCell="AD1" sqref="AD1:AM1048576"/>
    </sheetView>
  </sheetViews>
  <sheetFormatPr defaultColWidth="14.42578125" defaultRowHeight="15" x14ac:dyDescent="0.25"/>
  <cols>
    <col min="1" max="1" width="31.42578125" style="8" customWidth="1"/>
    <col min="2" max="2" width="73.85546875" style="9" customWidth="1"/>
    <col min="3" max="3" width="14.42578125" style="2" customWidth="1"/>
    <col min="4" max="4" width="14.42578125" style="11" customWidth="1"/>
    <col min="5" max="5" width="27.7109375" style="9" bestFit="1" customWidth="1"/>
    <col min="6" max="6" width="14.42578125" style="10"/>
    <col min="7" max="15" width="14.42578125" style="10" customWidth="1"/>
    <col min="16" max="16" width="17.28515625" style="8" hidden="1" customWidth="1"/>
    <col min="17" max="18" width="14.42578125" style="8" hidden="1" customWidth="1"/>
    <col min="19" max="19" width="14.42578125" style="58" customWidth="1"/>
    <col min="20" max="24" width="14.42578125" style="58"/>
    <col min="25" max="25" width="14.42578125" style="12"/>
    <col min="26" max="29" width="14.42578125" style="58"/>
    <col min="30" max="30" width="0" style="58" hidden="1" customWidth="1"/>
    <col min="31" max="38" width="14.42578125" style="58" hidden="1" customWidth="1"/>
    <col min="39" max="39" width="0" hidden="1" customWidth="1"/>
  </cols>
  <sheetData>
    <row r="1" spans="1:39" x14ac:dyDescent="0.25">
      <c r="A1" s="8" t="s">
        <v>466</v>
      </c>
      <c r="B1" s="8"/>
    </row>
    <row r="2" spans="1:39" x14ac:dyDescent="0.25">
      <c r="A2" s="9"/>
    </row>
    <row r="3" spans="1:39" ht="45" x14ac:dyDescent="0.25">
      <c r="A3" s="26" t="s">
        <v>467</v>
      </c>
      <c r="B3" s="26" t="s">
        <v>188</v>
      </c>
      <c r="C3" s="26" t="s">
        <v>73</v>
      </c>
      <c r="D3" s="110" t="s">
        <v>189</v>
      </c>
      <c r="E3" s="26" t="s">
        <v>156</v>
      </c>
      <c r="F3" s="27" t="s">
        <v>190</v>
      </c>
      <c r="G3" s="27" t="s">
        <v>191</v>
      </c>
      <c r="H3" s="443" t="s">
        <v>754</v>
      </c>
      <c r="I3" s="61" t="s">
        <v>192</v>
      </c>
      <c r="J3" s="61" t="s">
        <v>193</v>
      </c>
      <c r="K3" s="61" t="s">
        <v>194</v>
      </c>
      <c r="L3" s="61" t="s">
        <v>195</v>
      </c>
      <c r="M3" s="61" t="s">
        <v>196</v>
      </c>
      <c r="N3" s="61" t="s">
        <v>197</v>
      </c>
      <c r="O3" s="61" t="s">
        <v>198</v>
      </c>
      <c r="P3" s="28" t="s">
        <v>199</v>
      </c>
      <c r="Q3" s="26" t="s">
        <v>200</v>
      </c>
      <c r="R3" s="28" t="s">
        <v>560</v>
      </c>
      <c r="S3" s="29" t="s">
        <v>201</v>
      </c>
      <c r="T3" s="29" t="s">
        <v>202</v>
      </c>
      <c r="U3" s="29" t="s">
        <v>203</v>
      </c>
      <c r="V3" s="29" t="s">
        <v>561</v>
      </c>
      <c r="W3" s="29" t="s">
        <v>205</v>
      </c>
      <c r="X3" s="29" t="s">
        <v>206</v>
      </c>
      <c r="Y3" s="28" t="s">
        <v>207</v>
      </c>
      <c r="Z3" s="28" t="s">
        <v>208</v>
      </c>
      <c r="AA3" s="28" t="s">
        <v>13</v>
      </c>
      <c r="AB3" s="28" t="s">
        <v>14</v>
      </c>
      <c r="AC3" s="28" t="s">
        <v>209</v>
      </c>
      <c r="AD3" s="28" t="s">
        <v>562</v>
      </c>
      <c r="AE3" s="248" t="s">
        <v>211</v>
      </c>
      <c r="AF3" s="248" t="s">
        <v>212</v>
      </c>
      <c r="AG3" s="248" t="s">
        <v>213</v>
      </c>
      <c r="AH3" s="249" t="s">
        <v>563</v>
      </c>
      <c r="AI3" s="249" t="s">
        <v>564</v>
      </c>
      <c r="AJ3" s="249" t="s">
        <v>62</v>
      </c>
      <c r="AK3" s="253" t="s">
        <v>565</v>
      </c>
      <c r="AL3" s="254" t="s">
        <v>566</v>
      </c>
      <c r="AM3" s="254" t="s">
        <v>219</v>
      </c>
    </row>
    <row r="4" spans="1:39" s="380" customFormat="1" x14ac:dyDescent="0.25">
      <c r="A4" s="368"/>
      <c r="B4" s="369" t="s">
        <v>59</v>
      </c>
      <c r="C4" s="370" t="str">
        <f>VLOOKUP(Table2[[#This Row],[Course Title]],'TSD-Data'!$A$1:$E$70,2,FALSE)</f>
        <v>A-493-0550</v>
      </c>
      <c r="D4" s="370" t="str">
        <f>VLOOKUP(Table2[[#This Row],[Course Title]],'TSD-Data'!$A$1:$E$70,3,FALSE)</f>
        <v>09K5</v>
      </c>
      <c r="E4" s="369" t="s">
        <v>86</v>
      </c>
      <c r="F4" s="371">
        <v>45929</v>
      </c>
      <c r="G4" s="371">
        <v>46297</v>
      </c>
      <c r="H4" s="371" t="s">
        <v>752</v>
      </c>
      <c r="I4" s="372"/>
      <c r="J4" s="373">
        <v>0.33333333333333331</v>
      </c>
      <c r="K4" s="374">
        <v>0.20833333333333334</v>
      </c>
      <c r="L4" s="374">
        <v>0.625</v>
      </c>
      <c r="M4" s="374">
        <v>0.54166666666666663</v>
      </c>
      <c r="N4" s="374">
        <v>8.3333333333333329E-2</v>
      </c>
      <c r="O4" s="374">
        <v>0.875</v>
      </c>
      <c r="P4" s="375" t="s">
        <v>272</v>
      </c>
      <c r="Q4" s="375"/>
      <c r="R4" s="376"/>
      <c r="S4" s="370">
        <f>VLOOKUP(Table2[[#This Row],[Course Title]],'TSD-Data'!$A$1:$E$70,4,FALSE)</f>
        <v>45</v>
      </c>
      <c r="T4" s="377">
        <f>VLOOKUP(Table2[[#This Row],[Course Title]],'TSD-Data'!$A$1:$F$70,6,FALSE)</f>
        <v>32</v>
      </c>
      <c r="U4" s="378">
        <f>VLOOKUP(Table2[[#This Row],[Course Title]],'TSD-Data'!$A$1:$F$70,5,FALSE)</f>
        <v>4</v>
      </c>
      <c r="V4" s="379">
        <v>455</v>
      </c>
      <c r="W4" s="377"/>
      <c r="X4" s="377"/>
      <c r="Y4" s="378"/>
      <c r="Z4" s="378"/>
      <c r="AA4" s="370"/>
      <c r="AB4" s="370"/>
      <c r="AC4" s="370"/>
      <c r="AD4" s="370"/>
      <c r="AE4" s="378">
        <f ca="1">Table2[[#This Row],[End Date]]+2-TODAY()</f>
        <v>481</v>
      </c>
      <c r="AF4" s="370">
        <f>IF(ISBLANK(Table2[[#This Row],[Roster Received by]]),1,0)</f>
        <v>1</v>
      </c>
      <c r="AG4" s="377">
        <f ca="1">IF(Table2[[#This Row],[Start Date]]&gt;TODAY(),1,)</f>
        <v>1</v>
      </c>
      <c r="AH4" s="377">
        <f>IF(ISBLANK(Table2[[#This Row],[Primary Instructor]]),0,1)</f>
        <v>1</v>
      </c>
      <c r="AI4" s="377">
        <f>IF(ISBLANK(Table2[[#This Row],[Instructor 2]]),0,1)</f>
        <v>0</v>
      </c>
      <c r="AJ4" s="377">
        <f>Table2[[#This Row],[Course Length (Hours)]]/(SUM(Table2[[#This Row],[1]:[2]]))</f>
        <v>32</v>
      </c>
      <c r="AK4" s="370"/>
      <c r="AL4" s="377">
        <v>1</v>
      </c>
      <c r="AM4" s="403" t="str">
        <f>VLOOKUP(Table2[[#This Row],[Course Title]],'TSD-Data'!$A$1:$G$70,7,FALSE)</f>
        <v>N5</v>
      </c>
    </row>
    <row r="5" spans="1:39" s="380" customFormat="1" x14ac:dyDescent="0.25">
      <c r="A5" s="368"/>
      <c r="B5" s="369" t="s">
        <v>57</v>
      </c>
      <c r="C5" s="370" t="str">
        <f>VLOOKUP(Table2[[#This Row],[Course Title]],'TSD-Data'!$A$1:$E$70,2,FALSE)</f>
        <v>A-493-0099</v>
      </c>
      <c r="D5" s="370" t="str">
        <f>VLOOKUP(Table2[[#This Row],[Course Title]],'TSD-Data'!$A$1:$E$70,3,FALSE)</f>
        <v>12JW</v>
      </c>
      <c r="E5" s="369" t="s">
        <v>86</v>
      </c>
      <c r="F5" s="371">
        <v>45930</v>
      </c>
      <c r="G5" s="371">
        <v>45932</v>
      </c>
      <c r="H5" s="371" t="s">
        <v>752</v>
      </c>
      <c r="I5" s="372"/>
      <c r="J5" s="381">
        <v>0.5</v>
      </c>
      <c r="K5" s="381">
        <v>0.375</v>
      </c>
      <c r="L5" s="381">
        <v>0.79166666666666663</v>
      </c>
      <c r="M5" s="381">
        <v>0.75</v>
      </c>
      <c r="N5" s="381">
        <v>0.25</v>
      </c>
      <c r="O5" s="381">
        <v>4.1666666666666664E-2</v>
      </c>
      <c r="P5" s="375" t="s">
        <v>277</v>
      </c>
      <c r="Q5" s="375"/>
      <c r="R5" s="376"/>
      <c r="S5" s="370">
        <f>VLOOKUP(Table2[[#This Row],[Course Title]],'TSD-Data'!$A$1:$E$70,4,FALSE)</f>
        <v>45</v>
      </c>
      <c r="T5" s="377">
        <f>VLOOKUP(Table2[[#This Row],[Course Title]],'TSD-Data'!$A$1:$F$70,6,FALSE)</f>
        <v>24</v>
      </c>
      <c r="U5" s="378">
        <f>VLOOKUP(Table2[[#This Row],[Course Title]],'TSD-Data'!$A$1:$F$70,5,FALSE)</f>
        <v>3</v>
      </c>
      <c r="V5" s="379">
        <v>1041</v>
      </c>
      <c r="W5" s="377"/>
      <c r="X5" s="377"/>
      <c r="Y5" s="378"/>
      <c r="Z5" s="378"/>
      <c r="AA5" s="370"/>
      <c r="AB5" s="370"/>
      <c r="AC5" s="370"/>
      <c r="AD5" s="370"/>
      <c r="AE5" s="378">
        <f ca="1">Table2[[#This Row],[End Date]]+2-TODAY()</f>
        <v>116</v>
      </c>
      <c r="AF5" s="370">
        <f>IF(ISBLANK(Table2[[#This Row],[Roster Received by]]),1,0)</f>
        <v>1</v>
      </c>
      <c r="AG5" s="377">
        <f ca="1">IF(Table2[[#This Row],[Start Date]]&gt;TODAY(),1,)</f>
        <v>1</v>
      </c>
      <c r="AH5" s="377">
        <f>IF(ISBLANK(Table2[[#This Row],[Primary Instructor]]),0,1)</f>
        <v>1</v>
      </c>
      <c r="AI5" s="377">
        <f>IF(ISBLANK(Table2[[#This Row],[Instructor 2]]),0,1)</f>
        <v>0</v>
      </c>
      <c r="AJ5" s="377">
        <f>Table2[[#This Row],[Course Length (Hours)]]/(SUM(Table2[[#This Row],[1]:[2]]))</f>
        <v>24</v>
      </c>
      <c r="AK5" s="370"/>
      <c r="AL5" s="377">
        <v>1</v>
      </c>
      <c r="AM5" s="403" t="str">
        <f>VLOOKUP(Table2[[#This Row],[Course Title]],'TSD-Data'!$A$1:$G$70,7,FALSE)</f>
        <v>N5</v>
      </c>
    </row>
    <row r="6" spans="1:39" s="380" customFormat="1" x14ac:dyDescent="0.25">
      <c r="A6" s="368"/>
      <c r="B6" s="432" t="s">
        <v>55</v>
      </c>
      <c r="C6" s="370" t="str">
        <f>VLOOKUP(Table2[[#This Row],[Course Title]],'TSD-Data'!$A$1:$E$70,2,FALSE)</f>
        <v>A-493-0103</v>
      </c>
      <c r="D6" s="370" t="str">
        <f>VLOOKUP(Table2[[#This Row],[Course Title]],'TSD-Data'!$A$1:$E$70,3,FALSE)</f>
        <v>12JY</v>
      </c>
      <c r="E6" s="401" t="s">
        <v>409</v>
      </c>
      <c r="F6" s="437">
        <v>45936</v>
      </c>
      <c r="G6" s="371">
        <v>45940</v>
      </c>
      <c r="H6" s="371" t="s">
        <v>752</v>
      </c>
      <c r="I6" s="372">
        <v>0.33333333333333331</v>
      </c>
      <c r="J6" s="374"/>
      <c r="K6" s="382"/>
      <c r="L6" s="382"/>
      <c r="M6" s="382"/>
      <c r="N6" s="382"/>
      <c r="O6" s="382"/>
      <c r="P6" s="375" t="s">
        <v>289</v>
      </c>
      <c r="Q6" s="375"/>
      <c r="R6" s="376"/>
      <c r="S6" s="370">
        <f>VLOOKUP(Table2[[#This Row],[Course Title]],'TSD-Data'!$A$1:$E$70,4,FALSE)</f>
        <v>25</v>
      </c>
      <c r="T6" s="377">
        <f>VLOOKUP(Table2[[#This Row],[Course Title]],'TSD-Data'!$A$1:$F$70,6,FALSE)</f>
        <v>40</v>
      </c>
      <c r="U6" s="378">
        <f>VLOOKUP(Table2[[#This Row],[Course Title]],'TSD-Data'!$A$1:$F$70,5,FALSE)</f>
        <v>5</v>
      </c>
      <c r="V6" s="379">
        <v>10</v>
      </c>
      <c r="W6" s="377"/>
      <c r="X6" s="377"/>
      <c r="Y6" s="378"/>
      <c r="Z6" s="378"/>
      <c r="AA6" s="370"/>
      <c r="AB6" s="370"/>
      <c r="AC6" s="370"/>
      <c r="AD6" s="370"/>
      <c r="AE6" s="378">
        <f ca="1">Table2[[#This Row],[End Date]]+2-TODAY()</f>
        <v>124</v>
      </c>
      <c r="AF6" s="370">
        <f>IF(ISBLANK(Table2[[#This Row],[Roster Received by]]),1,0)</f>
        <v>1</v>
      </c>
      <c r="AG6" s="377">
        <f ca="1">IF(Table2[[#This Row],[Start Date]]&gt;TODAY(),1,)</f>
        <v>1</v>
      </c>
      <c r="AH6" s="377">
        <f>IF(ISBLANK(Table2[[#This Row],[Primary Instructor]]),0,1)</f>
        <v>1</v>
      </c>
      <c r="AI6" s="377">
        <f>IF(ISBLANK(Table2[[#This Row],[Instructor 2]]),0,1)</f>
        <v>0</v>
      </c>
      <c r="AJ6" s="377">
        <f>Table2[[#This Row],[Course Length (Hours)]]/(SUM(Table2[[#This Row],[1]:[2]]))</f>
        <v>40</v>
      </c>
      <c r="AK6" s="370"/>
      <c r="AL6" s="377">
        <v>1</v>
      </c>
      <c r="AM6" s="403" t="str">
        <f>VLOOKUP(Table2[[#This Row],[Course Title]],'TSD-Data'!$A$1:$G$70,7,FALSE)</f>
        <v>N5</v>
      </c>
    </row>
    <row r="7" spans="1:39" s="380" customFormat="1" x14ac:dyDescent="0.25">
      <c r="A7" s="425"/>
      <c r="B7" s="401" t="s">
        <v>17</v>
      </c>
      <c r="C7" s="370" t="str">
        <f>VLOOKUP(Table2[[#This Row],[Course Title]],'TSD-Data'!$A$1:$E$70,2,FALSE)</f>
        <v>A-493-0012</v>
      </c>
      <c r="D7" s="370">
        <f>VLOOKUP(Table2[[#This Row],[Course Title]],'TSD-Data'!$A$1:$E$70,3,FALSE)</f>
        <v>3682</v>
      </c>
      <c r="E7" s="401" t="s">
        <v>314</v>
      </c>
      <c r="F7" s="426">
        <v>45936</v>
      </c>
      <c r="G7" s="426">
        <v>45940</v>
      </c>
      <c r="H7" s="371" t="s">
        <v>752</v>
      </c>
      <c r="I7" s="372">
        <v>0.33333333333333331</v>
      </c>
      <c r="J7" s="374"/>
      <c r="K7" s="382"/>
      <c r="L7" s="382"/>
      <c r="M7" s="382"/>
      <c r="N7" s="382"/>
      <c r="O7" s="382"/>
      <c r="P7" s="375" t="s">
        <v>241</v>
      </c>
      <c r="Q7" s="375"/>
      <c r="R7" s="376"/>
      <c r="S7" s="370">
        <f>VLOOKUP(Table2[[#This Row],[Course Title]],'TSD-Data'!$A$1:$E$70,4,FALSE)</f>
        <v>40</v>
      </c>
      <c r="T7" s="377">
        <f>VLOOKUP(Table2[[#This Row],[Course Title]],'TSD-Data'!$A$1:$F$70,6,FALSE)</f>
        <v>40</v>
      </c>
      <c r="U7" s="378">
        <f>VLOOKUP(Table2[[#This Row],[Course Title]],'TSD-Data'!$A$1:$F$70,5,FALSE)</f>
        <v>5</v>
      </c>
      <c r="V7" s="377">
        <v>30</v>
      </c>
      <c r="W7" s="377"/>
      <c r="X7" s="377"/>
      <c r="Y7" s="378"/>
      <c r="Z7" s="378"/>
      <c r="AA7" s="370"/>
      <c r="AB7" s="370"/>
      <c r="AC7" s="370"/>
      <c r="AD7" s="370"/>
      <c r="AE7" s="378" t="e">
        <v>#REF!</v>
      </c>
      <c r="AF7" s="370">
        <v>1</v>
      </c>
      <c r="AG7" s="377" t="e">
        <v>#REF!</v>
      </c>
      <c r="AH7" s="377">
        <v>1</v>
      </c>
      <c r="AI7" s="377">
        <v>0</v>
      </c>
      <c r="AJ7" s="377">
        <v>16</v>
      </c>
      <c r="AK7" s="370"/>
      <c r="AL7" s="377">
        <v>1</v>
      </c>
      <c r="AM7" s="403" t="str">
        <f>VLOOKUP(Table2[[#This Row],[Course Title]],'TSD-Data'!$A$1:$G$70,7,FALSE)</f>
        <v>N4</v>
      </c>
    </row>
    <row r="8" spans="1:39" s="380" customFormat="1" x14ac:dyDescent="0.25">
      <c r="A8" s="368"/>
      <c r="B8" s="369" t="s">
        <v>38</v>
      </c>
      <c r="C8" s="370" t="str">
        <f>VLOOKUP(Table2[[#This Row],[Course Title]],'TSD-Data'!$A$1:$E$70,2,FALSE)</f>
        <v>A-493-0061</v>
      </c>
      <c r="D8" s="370" t="str">
        <f>VLOOKUP(Table2[[#This Row],[Course Title]],'TSD-Data'!$A$1:$E$70,3,FALSE)</f>
        <v>288E</v>
      </c>
      <c r="E8" s="369" t="s">
        <v>86</v>
      </c>
      <c r="F8" s="371">
        <v>45936</v>
      </c>
      <c r="G8" s="371">
        <v>45939</v>
      </c>
      <c r="H8" s="371" t="s">
        <v>752</v>
      </c>
      <c r="I8" s="372"/>
      <c r="J8" s="373">
        <v>0.33333333333333331</v>
      </c>
      <c r="K8" s="374">
        <v>0.20833333333333334</v>
      </c>
      <c r="L8" s="374">
        <v>0.625</v>
      </c>
      <c r="M8" s="374">
        <v>0.54166666666666663</v>
      </c>
      <c r="N8" s="374">
        <v>8.3333333333333329E-2</v>
      </c>
      <c r="O8" s="374">
        <v>0.875</v>
      </c>
      <c r="P8" s="375" t="s">
        <v>274</v>
      </c>
      <c r="Q8" s="375"/>
      <c r="R8" s="376"/>
      <c r="S8" s="370">
        <f>VLOOKUP(Table2[[#This Row],[Course Title]],'TSD-Data'!$A$1:$E$70,4,FALSE)</f>
        <v>45</v>
      </c>
      <c r="T8" s="377">
        <f>VLOOKUP(Table2[[#This Row],[Course Title]],'TSD-Data'!$A$1:$F$70,6,FALSE)</f>
        <v>30</v>
      </c>
      <c r="U8" s="378">
        <f>VLOOKUP(Table2[[#This Row],[Course Title]],'TSD-Data'!$A$1:$F$70,5,FALSE)</f>
        <v>4</v>
      </c>
      <c r="V8" s="379">
        <v>366</v>
      </c>
      <c r="W8" s="377"/>
      <c r="X8" s="377"/>
      <c r="Y8" s="378"/>
      <c r="Z8" s="378"/>
      <c r="AA8" s="370"/>
      <c r="AB8" s="370"/>
      <c r="AC8" s="370"/>
      <c r="AD8" s="370"/>
      <c r="AE8" s="378">
        <f ca="1">Table2[[#This Row],[End Date]]+2-TODAY()</f>
        <v>123</v>
      </c>
      <c r="AF8" s="370">
        <f>IF(ISBLANK(Table2[[#This Row],[Roster Received by]]),1,0)</f>
        <v>1</v>
      </c>
      <c r="AG8" s="377">
        <f ca="1">IF(Table2[[#This Row],[Start Date]]&gt;TODAY(),1,)</f>
        <v>1</v>
      </c>
      <c r="AH8" s="377">
        <f>IF(ISBLANK(Table2[[#This Row],[Primary Instructor]]),0,1)</f>
        <v>1</v>
      </c>
      <c r="AI8" s="377">
        <f>IF(ISBLANK(Table2[[#This Row],[Instructor 2]]),0,1)</f>
        <v>0</v>
      </c>
      <c r="AJ8" s="377">
        <f>Table2[[#This Row],[Course Length (Hours)]]/(SUM(Table2[[#This Row],[1]:[2]]))</f>
        <v>30</v>
      </c>
      <c r="AK8" s="370"/>
      <c r="AL8" s="377">
        <v>1</v>
      </c>
      <c r="AM8" s="403" t="str">
        <f>VLOOKUP(Table2[[#This Row],[Course Title]],'TSD-Data'!$A$1:$G$70,7,FALSE)</f>
        <v>N5</v>
      </c>
    </row>
    <row r="9" spans="1:39" s="380" customFormat="1" x14ac:dyDescent="0.25">
      <c r="A9" s="368"/>
      <c r="B9" s="369" t="s">
        <v>120</v>
      </c>
      <c r="C9" s="370" t="str">
        <f>VLOOKUP(Table2[[#This Row],[Course Title]],'TSD-Data'!$A$1:$E$70,2,FALSE)</f>
        <v>A-322-2604</v>
      </c>
      <c r="D9" s="370" t="str">
        <f>VLOOKUP(Table2[[#This Row],[Course Title]],'TSD-Data'!$A$1:$E$70,3,FALSE)</f>
        <v>10ZZ</v>
      </c>
      <c r="E9" s="369" t="s">
        <v>86</v>
      </c>
      <c r="F9" s="371">
        <v>45936</v>
      </c>
      <c r="G9" s="371">
        <v>45938</v>
      </c>
      <c r="H9" s="371" t="s">
        <v>752</v>
      </c>
      <c r="I9" s="372"/>
      <c r="J9" s="439">
        <v>0.33333333333333331</v>
      </c>
      <c r="K9" s="440">
        <v>0.20833333333333334</v>
      </c>
      <c r="L9" s="440">
        <v>0.625</v>
      </c>
      <c r="M9" s="440">
        <v>0.54166666666666663</v>
      </c>
      <c r="N9" s="440">
        <v>8.3333333333333329E-2</v>
      </c>
      <c r="O9" s="440">
        <v>0.875</v>
      </c>
      <c r="P9" s="375" t="s">
        <v>252</v>
      </c>
      <c r="Q9" s="375"/>
      <c r="R9" s="376"/>
      <c r="S9" s="370">
        <f>VLOOKUP(Table2[[#This Row],[Course Title]],'TSD-Data'!$A$1:$E$70,4,FALSE)</f>
        <v>45</v>
      </c>
      <c r="T9" s="377">
        <f>VLOOKUP(Table2[[#This Row],[Course Title]],'TSD-Data'!$A$1:$F$70,6,FALSE)</f>
        <v>24</v>
      </c>
      <c r="U9" s="378">
        <f>VLOOKUP(Table2[[#This Row],[Course Title]],'TSD-Data'!$A$1:$F$70,5,FALSE)</f>
        <v>3</v>
      </c>
      <c r="V9" s="379">
        <v>316</v>
      </c>
      <c r="W9" s="377"/>
      <c r="X9" s="377"/>
      <c r="Y9" s="378"/>
      <c r="Z9" s="378"/>
      <c r="AA9" s="370"/>
      <c r="AB9" s="370"/>
      <c r="AC9" s="370"/>
      <c r="AD9" s="370"/>
      <c r="AE9" s="378">
        <f ca="1">Table2[[#This Row],[End Date]]+2-TODAY()</f>
        <v>122</v>
      </c>
      <c r="AF9" s="370">
        <f>IF(ISBLANK(Table2[[#This Row],[Roster Received by]]),1,0)</f>
        <v>1</v>
      </c>
      <c r="AG9" s="377">
        <f ca="1">IF(Table2[[#This Row],[Start Date]]&gt;TODAY(),1,)</f>
        <v>1</v>
      </c>
      <c r="AH9" s="377">
        <f>IF(ISBLANK(Table2[[#This Row],[Primary Instructor]]),0,1)</f>
        <v>1</v>
      </c>
      <c r="AI9" s="377">
        <f>IF(ISBLANK(Table2[[#This Row],[Instructor 2]]),0,1)</f>
        <v>0</v>
      </c>
      <c r="AJ9" s="377">
        <f>Table2[[#This Row],[Course Length (Hours)]]/(SUM(Table2[[#This Row],[1]:[2]]))</f>
        <v>24</v>
      </c>
      <c r="AK9" s="370"/>
      <c r="AL9" s="377">
        <v>1</v>
      </c>
      <c r="AM9" s="403" t="str">
        <f>VLOOKUP(Table2[[#This Row],[Course Title]],'TSD-Data'!$A$1:$G$70,7,FALSE)</f>
        <v>N3</v>
      </c>
    </row>
    <row r="10" spans="1:39" s="380" customFormat="1" x14ac:dyDescent="0.25">
      <c r="A10" s="368"/>
      <c r="B10" s="369" t="s">
        <v>61</v>
      </c>
      <c r="C10" s="370" t="str">
        <f>VLOOKUP(Table2[[#This Row],[Course Title]],'TSD-Data'!$A$1:$E$70,2,FALSE)</f>
        <v>A-493-0078</v>
      </c>
      <c r="D10" s="370">
        <f>VLOOKUP(Table2[[#This Row],[Course Title]],'TSD-Data'!$A$1:$E$70,3,FALSE)</f>
        <v>1228</v>
      </c>
      <c r="E10" s="383" t="s">
        <v>86</v>
      </c>
      <c r="F10" s="371">
        <v>45936</v>
      </c>
      <c r="G10" s="371">
        <v>45939</v>
      </c>
      <c r="H10" s="371" t="s">
        <v>752</v>
      </c>
      <c r="I10" s="372"/>
      <c r="J10" s="381">
        <v>0.33333333333333331</v>
      </c>
      <c r="K10" s="372">
        <v>0.20833333333333334</v>
      </c>
      <c r="L10" s="372">
        <v>0.625</v>
      </c>
      <c r="M10" s="372">
        <v>0.54166666666666663</v>
      </c>
      <c r="N10" s="372">
        <v>8.3333333333333329E-2</v>
      </c>
      <c r="O10" s="372">
        <v>0.875</v>
      </c>
      <c r="P10" s="375" t="s">
        <v>256</v>
      </c>
      <c r="Q10" s="375"/>
      <c r="R10" s="376"/>
      <c r="S10" s="370">
        <f>VLOOKUP(Table2[[#This Row],[Course Title]],'TSD-Data'!$A$1:$E$70,4,FALSE)</f>
        <v>45</v>
      </c>
      <c r="T10" s="377">
        <f>VLOOKUP(Table2[[#This Row],[Course Title]],'TSD-Data'!$A$1:$F$70,6,FALSE)</f>
        <v>32</v>
      </c>
      <c r="U10" s="378">
        <f>VLOOKUP(Table2[[#This Row],[Course Title]],'TSD-Data'!$A$1:$F$70,5,FALSE)</f>
        <v>4</v>
      </c>
      <c r="V10" s="379">
        <v>454</v>
      </c>
      <c r="W10" s="377"/>
      <c r="X10" s="377"/>
      <c r="Y10" s="378"/>
      <c r="Z10" s="378"/>
      <c r="AA10" s="370"/>
      <c r="AB10" s="370"/>
      <c r="AC10" s="370"/>
      <c r="AD10" s="370"/>
      <c r="AE10" s="378">
        <f ca="1">Table2[[#This Row],[End Date]]+2-TODAY()</f>
        <v>123</v>
      </c>
      <c r="AF10" s="370">
        <f>IF(ISBLANK(Table2[[#This Row],[Roster Received by]]),1,0)</f>
        <v>1</v>
      </c>
      <c r="AG10" s="377">
        <f ca="1">IF(Table2[[#This Row],[Start Date]]&gt;TODAY(),1,)</f>
        <v>1</v>
      </c>
      <c r="AH10" s="377">
        <f>IF(ISBLANK(Table2[[#This Row],[Primary Instructor]]),0,1)</f>
        <v>1</v>
      </c>
      <c r="AI10" s="377">
        <f>IF(ISBLANK(Table2[[#This Row],[Instructor 2]]),0,1)</f>
        <v>0</v>
      </c>
      <c r="AJ10" s="377">
        <f>Table2[[#This Row],[Course Length (Hours)]]/(SUM(Table2[[#This Row],[1]:[2]]))</f>
        <v>32</v>
      </c>
      <c r="AK10" s="370"/>
      <c r="AL10" s="377">
        <v>1</v>
      </c>
      <c r="AM10" s="403" t="str">
        <f>VLOOKUP(Table2[[#This Row],[Course Title]],'TSD-Data'!$A$1:$G$70,7,FALSE)</f>
        <v>N5</v>
      </c>
    </row>
    <row r="11" spans="1:39" s="380" customFormat="1" x14ac:dyDescent="0.25">
      <c r="A11" s="369"/>
      <c r="B11" s="369" t="s">
        <v>53</v>
      </c>
      <c r="C11" s="370" t="str">
        <f>VLOOKUP(Table2[[#This Row],[Course Title]],'TSD-Data'!$A$1:$E$70,2,FALSE)</f>
        <v>A-493-0072</v>
      </c>
      <c r="D11" s="370" t="str">
        <f>VLOOKUP(Table2[[#This Row],[Course Title]],'TSD-Data'!$A$1:$E$70,3,FALSE)</f>
        <v>713U</v>
      </c>
      <c r="E11" s="383" t="s">
        <v>169</v>
      </c>
      <c r="F11" s="371">
        <v>45936</v>
      </c>
      <c r="G11" s="371">
        <v>45940</v>
      </c>
      <c r="H11" s="371" t="s">
        <v>752</v>
      </c>
      <c r="I11" s="372">
        <v>0.33333333333333331</v>
      </c>
      <c r="J11" s="374"/>
      <c r="K11" s="382"/>
      <c r="L11" s="382"/>
      <c r="M11" s="382"/>
      <c r="N11" s="382"/>
      <c r="O11" s="382"/>
      <c r="P11" s="375" t="s">
        <v>238</v>
      </c>
      <c r="Q11" s="375"/>
      <c r="R11" s="375"/>
      <c r="S11" s="370">
        <f>VLOOKUP(Table2[[#This Row],[Course Title]],'TSD-Data'!$A$1:$E$70,4,FALSE)</f>
        <v>30</v>
      </c>
      <c r="T11" s="377">
        <f>VLOOKUP(Table2[[#This Row],[Course Title]],'TSD-Data'!$A$1:$F$70,6,FALSE)</f>
        <v>40</v>
      </c>
      <c r="U11" s="378">
        <f>VLOOKUP(Table2[[#This Row],[Course Title]],'TSD-Data'!$A$1:$F$70,5,FALSE)</f>
        <v>5</v>
      </c>
      <c r="V11" s="379">
        <v>178</v>
      </c>
      <c r="W11" s="377"/>
      <c r="X11" s="377"/>
      <c r="Y11" s="379"/>
      <c r="Z11" s="379"/>
      <c r="AA11" s="377"/>
      <c r="AB11" s="377"/>
      <c r="AC11" s="377"/>
      <c r="AD11" s="377"/>
      <c r="AE11" s="379">
        <f ca="1">Table2[[#This Row],[End Date]]+2-TODAY()</f>
        <v>124</v>
      </c>
      <c r="AF11" s="377">
        <f>IF(ISBLANK(Table2[[#This Row],[Roster Received by]]),1,0)</f>
        <v>1</v>
      </c>
      <c r="AG11" s="377">
        <f ca="1">IF(Table2[[#This Row],[Start Date]]&gt;TODAY(),1,)</f>
        <v>1</v>
      </c>
      <c r="AH11" s="377">
        <f>IF(ISBLANK(Table2[[#This Row],[Primary Instructor]]),0,1)</f>
        <v>1</v>
      </c>
      <c r="AI11" s="377">
        <f>IF(ISBLANK(Table2[[#This Row],[Instructor 2]]),0,1)</f>
        <v>0</v>
      </c>
      <c r="AJ11" s="377">
        <f>Table2[[#This Row],[Course Length (Hours)]]/(SUM(Table2[[#This Row],[1]:[2]]))</f>
        <v>40</v>
      </c>
      <c r="AK11" s="377"/>
      <c r="AL11" s="377">
        <v>1</v>
      </c>
      <c r="AM11" s="403" t="str">
        <f>VLOOKUP(Table2[[#This Row],[Course Title]],'TSD-Data'!$A$1:$G$70,7,FALSE)</f>
        <v>N3</v>
      </c>
    </row>
    <row r="12" spans="1:39" s="380" customFormat="1" x14ac:dyDescent="0.25">
      <c r="A12" s="368"/>
      <c r="B12" s="369" t="s">
        <v>334</v>
      </c>
      <c r="C12" s="370" t="str">
        <f>VLOOKUP(Table2[[#This Row],[Course Title]],'TSD-Data'!$A$1:$E$70,2,FALSE)</f>
        <v>A-493-2099</v>
      </c>
      <c r="D12" s="370" t="str">
        <f>VLOOKUP(Table2[[#This Row],[Course Title]],'TSD-Data'!$A$1:$E$70,3,FALSE)</f>
        <v>438G</v>
      </c>
      <c r="E12" s="383" t="s">
        <v>170</v>
      </c>
      <c r="F12" s="371">
        <v>45936</v>
      </c>
      <c r="G12" s="371">
        <v>45937</v>
      </c>
      <c r="H12" s="371" t="s">
        <v>752</v>
      </c>
      <c r="I12" s="372">
        <v>0.33333333333333331</v>
      </c>
      <c r="J12" s="440"/>
      <c r="K12" s="437"/>
      <c r="L12" s="437"/>
      <c r="M12" s="437"/>
      <c r="N12" s="437"/>
      <c r="O12" s="437"/>
      <c r="P12" s="375" t="s">
        <v>244</v>
      </c>
      <c r="Q12" s="375"/>
      <c r="R12" s="376"/>
      <c r="S12" s="370">
        <f>VLOOKUP(Table2[[#This Row],[Course Title]],'TSD-Data'!$A$1:$E$70,4,FALSE)</f>
        <v>30</v>
      </c>
      <c r="T12" s="377">
        <f>VLOOKUP(Table2[[#This Row],[Course Title]],'TSD-Data'!$A$1:$F$70,6,FALSE)</f>
        <v>16</v>
      </c>
      <c r="U12" s="378">
        <f>VLOOKUP(Table2[[#This Row],[Course Title]],'TSD-Data'!$A$1:$F$70,5,FALSE)</f>
        <v>2</v>
      </c>
      <c r="V12" s="379">
        <v>0</v>
      </c>
      <c r="W12" s="377"/>
      <c r="X12" s="377"/>
      <c r="Y12" s="378"/>
      <c r="Z12" s="378"/>
      <c r="AA12" s="370"/>
      <c r="AB12" s="370"/>
      <c r="AC12" s="370"/>
      <c r="AD12" s="370"/>
      <c r="AE12" s="378">
        <f ca="1">Table2[[#This Row],[End Date]]+2-TODAY()</f>
        <v>121</v>
      </c>
      <c r="AF12" s="370">
        <f>IF(ISBLANK(Table2[[#This Row],[Roster Received by]]),1,0)</f>
        <v>1</v>
      </c>
      <c r="AG12" s="377">
        <f ca="1">IF(Table2[[#This Row],[Start Date]]&gt;TODAY(),1,)</f>
        <v>1</v>
      </c>
      <c r="AH12" s="377">
        <f>IF(ISBLANK(Table2[[#This Row],[Primary Instructor]]),0,1)</f>
        <v>1</v>
      </c>
      <c r="AI12" s="377">
        <f>IF(ISBLANK(Table2[[#This Row],[Instructor 2]]),0,1)</f>
        <v>0</v>
      </c>
      <c r="AJ12" s="377">
        <f>Table2[[#This Row],[Course Length (Hours)]]/(SUM(Table2[[#This Row],[1]:[2]]))</f>
        <v>16</v>
      </c>
      <c r="AK12" s="370"/>
      <c r="AL12" s="377">
        <v>1</v>
      </c>
      <c r="AM12" s="403" t="str">
        <f>VLOOKUP(Table2[[#This Row],[Course Title]],'TSD-Data'!$A$1:$G$70,7,FALSE)</f>
        <v>N1</v>
      </c>
    </row>
    <row r="13" spans="1:39" s="380" customFormat="1" x14ac:dyDescent="0.25">
      <c r="A13" s="368"/>
      <c r="B13" s="369" t="s">
        <v>59</v>
      </c>
      <c r="C13" s="370" t="str">
        <f>VLOOKUP(Table2[[#This Row],[Course Title]],'TSD-Data'!$A$1:$E$70,2,FALSE)</f>
        <v>A-493-0550</v>
      </c>
      <c r="D13" s="370" t="str">
        <f>VLOOKUP(Table2[[#This Row],[Course Title]],'TSD-Data'!$A$1:$E$70,3,FALSE)</f>
        <v>09K5</v>
      </c>
      <c r="E13" s="383" t="s">
        <v>86</v>
      </c>
      <c r="F13" s="371">
        <v>45937</v>
      </c>
      <c r="G13" s="371">
        <v>45940</v>
      </c>
      <c r="H13" s="371" t="s">
        <v>752</v>
      </c>
      <c r="I13" s="372"/>
      <c r="J13" s="381">
        <v>1900.7916666666667</v>
      </c>
      <c r="K13" s="381">
        <v>0.66666666666666663</v>
      </c>
      <c r="L13" s="381">
        <v>8.3333333333333329E-2</v>
      </c>
      <c r="M13" s="381">
        <v>0</v>
      </c>
      <c r="N13" s="381">
        <v>0.54166666666666663</v>
      </c>
      <c r="O13" s="381">
        <v>0.33333333333333331</v>
      </c>
      <c r="P13" s="375" t="s">
        <v>272</v>
      </c>
      <c r="Q13" s="375"/>
      <c r="R13" s="376"/>
      <c r="S13" s="370">
        <f>VLOOKUP(Table2[[#This Row],[Course Title]],'TSD-Data'!$A$1:$E$70,4,FALSE)</f>
        <v>45</v>
      </c>
      <c r="T13" s="377">
        <f>VLOOKUP(Table2[[#This Row],[Course Title]],'TSD-Data'!$A$1:$F$70,6,FALSE)</f>
        <v>32</v>
      </c>
      <c r="U13" s="378">
        <f>VLOOKUP(Table2[[#This Row],[Course Title]],'TSD-Data'!$A$1:$F$70,5,FALSE)</f>
        <v>4</v>
      </c>
      <c r="V13" s="379">
        <v>180</v>
      </c>
      <c r="W13" s="377"/>
      <c r="X13" s="377"/>
      <c r="Y13" s="378"/>
      <c r="Z13" s="378"/>
      <c r="AA13" s="370"/>
      <c r="AB13" s="370"/>
      <c r="AC13" s="370"/>
      <c r="AD13" s="370"/>
      <c r="AE13" s="378">
        <f ca="1">Table2[[#This Row],[End Date]]+2-TODAY()</f>
        <v>124</v>
      </c>
      <c r="AF13" s="370">
        <f>IF(ISBLANK(Table2[[#This Row],[Roster Received by]]),1,0)</f>
        <v>1</v>
      </c>
      <c r="AG13" s="377">
        <f ca="1">IF(Table2[[#This Row],[Start Date]]&gt;TODAY(),1,)</f>
        <v>1</v>
      </c>
      <c r="AH13" s="377">
        <f>IF(ISBLANK(Table2[[#This Row],[Primary Instructor]]),0,1)</f>
        <v>1</v>
      </c>
      <c r="AI13" s="377">
        <f>IF(ISBLANK(Table2[[#This Row],[Instructor 2]]),0,1)</f>
        <v>0</v>
      </c>
      <c r="AJ13" s="377">
        <f>Table2[[#This Row],[Course Length (Hours)]]/(SUM(Table2[[#This Row],[1]:[2]]))</f>
        <v>32</v>
      </c>
      <c r="AK13" s="370"/>
      <c r="AL13" s="377">
        <v>1</v>
      </c>
      <c r="AM13" s="403" t="str">
        <f>VLOOKUP(Table2[[#This Row],[Course Title]],'TSD-Data'!$A$1:$G$70,7,FALSE)</f>
        <v>N5</v>
      </c>
    </row>
    <row r="14" spans="1:39" s="380" customFormat="1" x14ac:dyDescent="0.25">
      <c r="A14" s="368"/>
      <c r="B14" s="383" t="s">
        <v>334</v>
      </c>
      <c r="C14" s="370" t="str">
        <f>VLOOKUP(Table2[[#This Row],[Course Title]],'TSD-Data'!$A$1:$E$70,2,FALSE)</f>
        <v>A-493-2099</v>
      </c>
      <c r="D14" s="370" t="str">
        <f>VLOOKUP(Table2[[#This Row],[Course Title]],'TSD-Data'!$A$1:$E$70,3,FALSE)</f>
        <v>438G</v>
      </c>
      <c r="E14" s="432" t="s">
        <v>170</v>
      </c>
      <c r="F14" s="371">
        <v>45938</v>
      </c>
      <c r="G14" s="371">
        <v>45939</v>
      </c>
      <c r="H14" s="371" t="s">
        <v>752</v>
      </c>
      <c r="I14" s="372">
        <v>0.33333333333333331</v>
      </c>
      <c r="J14" s="372"/>
      <c r="K14" s="371"/>
      <c r="L14" s="371"/>
      <c r="M14" s="371"/>
      <c r="N14" s="371"/>
      <c r="O14" s="371"/>
      <c r="P14" s="375" t="s">
        <v>244</v>
      </c>
      <c r="Q14" s="375"/>
      <c r="R14" s="376"/>
      <c r="S14" s="370">
        <f>VLOOKUP(Table2[[#This Row],[Course Title]],'TSD-Data'!$A$1:$E$70,4,FALSE)</f>
        <v>30</v>
      </c>
      <c r="T14" s="377">
        <f>VLOOKUP(Table2[[#This Row],[Course Title]],'TSD-Data'!$A$1:$F$70,6,FALSE)</f>
        <v>16</v>
      </c>
      <c r="U14" s="378">
        <f>VLOOKUP(Table2[[#This Row],[Course Title]],'TSD-Data'!$A$1:$F$70,5,FALSE)</f>
        <v>2</v>
      </c>
      <c r="V14" s="379">
        <v>0</v>
      </c>
      <c r="W14" s="377"/>
      <c r="X14" s="377"/>
      <c r="Y14" s="378"/>
      <c r="Z14" s="378"/>
      <c r="AA14" s="370"/>
      <c r="AB14" s="370"/>
      <c r="AC14" s="370"/>
      <c r="AD14" s="370"/>
      <c r="AE14" s="378">
        <f ca="1">Table2[[#This Row],[End Date]]+2-TODAY()</f>
        <v>123</v>
      </c>
      <c r="AF14" s="370">
        <f>IF(ISBLANK(Table2[[#This Row],[Roster Received by]]),1,0)</f>
        <v>1</v>
      </c>
      <c r="AG14" s="377">
        <f ca="1">IF(Table2[[#This Row],[Start Date]]&gt;TODAY(),1,)</f>
        <v>1</v>
      </c>
      <c r="AH14" s="377">
        <f>IF(ISBLANK(Table2[[#This Row],[Primary Instructor]]),0,1)</f>
        <v>1</v>
      </c>
      <c r="AI14" s="377">
        <f>IF(ISBLANK(Table2[[#This Row],[Instructor 2]]),0,1)</f>
        <v>0</v>
      </c>
      <c r="AJ14" s="377">
        <f>Table2[[#This Row],[Course Length (Hours)]]/(SUM(Table2[[#This Row],[1]:[2]]))</f>
        <v>16</v>
      </c>
      <c r="AK14" s="370"/>
      <c r="AL14" s="377">
        <v>1</v>
      </c>
      <c r="AM14" s="403" t="str">
        <f>VLOOKUP(Table2[[#This Row],[Course Title]],'TSD-Data'!$A$1:$G$70,7,FALSE)</f>
        <v>N1</v>
      </c>
    </row>
    <row r="15" spans="1:39" s="380" customFormat="1" x14ac:dyDescent="0.25">
      <c r="A15" s="384" t="s">
        <v>477</v>
      </c>
      <c r="B15" s="385" t="s">
        <v>181</v>
      </c>
      <c r="C15" s="370" t="str">
        <f>VLOOKUP(Table2[[#This Row],[Course Title]],'TSD-Data'!$A$1:$E$70,2,FALSE)</f>
        <v>Holiday</v>
      </c>
      <c r="D15" s="370" t="str">
        <f>VLOOKUP(Table2[[#This Row],[Course Title]],'TSD-Data'!$A$1:$E$70,3,FALSE)</f>
        <v>Holiday</v>
      </c>
      <c r="E15" s="386" t="s">
        <v>181</v>
      </c>
      <c r="F15" s="387">
        <v>45943</v>
      </c>
      <c r="G15" s="387">
        <v>45943</v>
      </c>
      <c r="H15" s="371" t="s">
        <v>788</v>
      </c>
      <c r="I15" s="388"/>
      <c r="J15" s="388"/>
      <c r="K15" s="388"/>
      <c r="L15" s="388"/>
      <c r="M15" s="388"/>
      <c r="N15" s="388"/>
      <c r="O15" s="388"/>
      <c r="P15" s="386" t="s">
        <v>322</v>
      </c>
      <c r="Q15" s="386"/>
      <c r="R15" s="386"/>
      <c r="S15" s="370">
        <f>VLOOKUP(Table2[[#This Row],[Course Title]],'TSD-Data'!$A$1:$E$70,4,FALSE)</f>
        <v>0</v>
      </c>
      <c r="T15" s="377">
        <f>VLOOKUP(Table2[[#This Row],[Course Title]],'TSD-Data'!$A$1:$F$70,6,FALSE)</f>
        <v>0</v>
      </c>
      <c r="U15" s="378">
        <f>VLOOKUP(Table2[[#This Row],[Course Title]],'TSD-Data'!$A$1:$F$70,5,FALSE)</f>
        <v>0</v>
      </c>
      <c r="V15" s="389">
        <v>0</v>
      </c>
      <c r="W15" s="388">
        <v>0</v>
      </c>
      <c r="X15" s="388">
        <v>0</v>
      </c>
      <c r="Y15" s="388">
        <v>0</v>
      </c>
      <c r="Z15" s="388">
        <v>0</v>
      </c>
      <c r="AA15" s="388">
        <v>0</v>
      </c>
      <c r="AB15" s="388">
        <v>0</v>
      </c>
      <c r="AC15" s="388">
        <v>0</v>
      </c>
      <c r="AD15" s="388" t="s">
        <v>247</v>
      </c>
      <c r="AE15" s="379">
        <f ca="1">Table2[[#This Row],[End Date]]+2-TODAY()</f>
        <v>127</v>
      </c>
      <c r="AF15" s="388">
        <v>0</v>
      </c>
      <c r="AG15" s="388">
        <v>0</v>
      </c>
      <c r="AH15" s="388">
        <v>0</v>
      </c>
      <c r="AI15" s="388">
        <v>0</v>
      </c>
      <c r="AJ15" s="388" t="e">
        <v>#DIV/0!</v>
      </c>
      <c r="AK15" s="388">
        <v>0</v>
      </c>
      <c r="AL15" s="377">
        <v>1</v>
      </c>
      <c r="AM15" s="403" t="str">
        <f>VLOOKUP(Table2[[#This Row],[Course Title]],'TSD-Data'!$A$1:$G$70,7,FALSE)</f>
        <v>TSD</v>
      </c>
    </row>
    <row r="16" spans="1:39" s="380" customFormat="1" x14ac:dyDescent="0.25">
      <c r="A16" s="368"/>
      <c r="B16" s="390" t="s">
        <v>46</v>
      </c>
      <c r="C16" s="370" t="str">
        <f>VLOOKUP(Table2[[#This Row],[Course Title]],'TSD-Data'!$A$1:$E$70,2,FALSE)</f>
        <v>A-493-0070</v>
      </c>
      <c r="D16" s="370" t="str">
        <f>VLOOKUP(Table2[[#This Row],[Course Title]],'TSD-Data'!$A$1:$E$70,3,FALSE)</f>
        <v>450V</v>
      </c>
      <c r="E16" s="383" t="s">
        <v>170</v>
      </c>
      <c r="F16" s="391">
        <v>45944</v>
      </c>
      <c r="G16" s="391">
        <v>45944</v>
      </c>
      <c r="H16" s="371" t="s">
        <v>752</v>
      </c>
      <c r="I16" s="372">
        <v>0.33333333333333331</v>
      </c>
      <c r="J16" s="372"/>
      <c r="K16" s="371"/>
      <c r="L16" s="371"/>
      <c r="M16" s="371"/>
      <c r="N16" s="371"/>
      <c r="O16" s="371"/>
      <c r="P16" s="375" t="s">
        <v>297</v>
      </c>
      <c r="Q16" s="375"/>
      <c r="R16" s="376"/>
      <c r="S16" s="370">
        <f>VLOOKUP(Table2[[#This Row],[Course Title]],'TSD-Data'!$A$1:$E$70,4,FALSE)</f>
        <v>30</v>
      </c>
      <c r="T16" s="377">
        <f>VLOOKUP(Table2[[#This Row],[Course Title]],'TSD-Data'!$A$1:$F$70,6,FALSE)</f>
        <v>8</v>
      </c>
      <c r="U16" s="378">
        <f>VLOOKUP(Table2[[#This Row],[Course Title]],'TSD-Data'!$A$1:$F$70,5,FALSE)</f>
        <v>1</v>
      </c>
      <c r="V16" s="379">
        <v>13</v>
      </c>
      <c r="W16" s="377"/>
      <c r="X16" s="377"/>
      <c r="Y16" s="378"/>
      <c r="Z16" s="378"/>
      <c r="AA16" s="370"/>
      <c r="AB16" s="370"/>
      <c r="AC16" s="370"/>
      <c r="AD16" s="370"/>
      <c r="AE16" s="378">
        <f ca="1">Table2[[#This Row],[End Date]]+2-TODAY()</f>
        <v>128</v>
      </c>
      <c r="AF16" s="370">
        <f>IF(ISBLANK(Table2[[#This Row],[Roster Received by]]),1,0)</f>
        <v>1</v>
      </c>
      <c r="AG16" s="377">
        <f ca="1">IF(Table2[[#This Row],[Start Date]]&gt;TODAY(),1,)</f>
        <v>1</v>
      </c>
      <c r="AH16" s="377">
        <f>IF(ISBLANK(Table2[[#This Row],[Primary Instructor]]),0,1)</f>
        <v>1</v>
      </c>
      <c r="AI16" s="377">
        <f>IF(ISBLANK(Table2[[#This Row],[Instructor 2]]),0,1)</f>
        <v>0</v>
      </c>
      <c r="AJ16" s="377">
        <f>Table2[[#This Row],[Course Length (Hours)]]/(SUM(Table2[[#This Row],[1]:[2]]))</f>
        <v>8</v>
      </c>
      <c r="AK16" s="370"/>
      <c r="AL16" s="377">
        <v>1</v>
      </c>
      <c r="AM16" s="403" t="str">
        <f>VLOOKUP(Table2[[#This Row],[Course Title]],'TSD-Data'!$A$1:$G$70,7,FALSE)</f>
        <v>N3</v>
      </c>
    </row>
    <row r="17" spans="1:39" s="380" customFormat="1" x14ac:dyDescent="0.25">
      <c r="A17" s="368"/>
      <c r="B17" s="385" t="s">
        <v>50</v>
      </c>
      <c r="C17" s="370" t="str">
        <f>VLOOKUP(Table2[[#This Row],[Course Title]],'TSD-Data'!$A$1:$E$70,2,FALSE)</f>
        <v>A-493-0331</v>
      </c>
      <c r="D17" s="370" t="str">
        <f>VLOOKUP(Table2[[#This Row],[Course Title]],'TSD-Data'!$A$1:$E$70,3,FALSE)</f>
        <v>10UG</v>
      </c>
      <c r="E17" s="383" t="s">
        <v>86</v>
      </c>
      <c r="F17" s="371">
        <v>45944</v>
      </c>
      <c r="G17" s="371">
        <v>45946</v>
      </c>
      <c r="H17" s="371" t="s">
        <v>752</v>
      </c>
      <c r="I17" s="372"/>
      <c r="J17" s="381">
        <v>0.5</v>
      </c>
      <c r="K17" s="381">
        <v>0.375</v>
      </c>
      <c r="L17" s="381">
        <v>0.79166666666666663</v>
      </c>
      <c r="M17" s="381">
        <v>0.75</v>
      </c>
      <c r="N17" s="381">
        <v>0.25</v>
      </c>
      <c r="O17" s="381">
        <v>4.1666666666666664E-2</v>
      </c>
      <c r="P17" s="375" t="s">
        <v>233</v>
      </c>
      <c r="Q17" s="375"/>
      <c r="R17" s="376"/>
      <c r="S17" s="370">
        <f>VLOOKUP(Table2[[#This Row],[Course Title]],'TSD-Data'!$A$1:$E$70,4,FALSE)</f>
        <v>45</v>
      </c>
      <c r="T17" s="377">
        <f>VLOOKUP(Table2[[#This Row],[Course Title]],'TSD-Data'!$A$1:$F$70,6,FALSE)</f>
        <v>24</v>
      </c>
      <c r="U17" s="378">
        <f>VLOOKUP(Table2[[#This Row],[Course Title]],'TSD-Data'!$A$1:$F$70,5,FALSE)</f>
        <v>3</v>
      </c>
      <c r="V17" s="379">
        <v>844</v>
      </c>
      <c r="W17" s="377"/>
      <c r="X17" s="377"/>
      <c r="Y17" s="378"/>
      <c r="Z17" s="378"/>
      <c r="AA17" s="370"/>
      <c r="AB17" s="370"/>
      <c r="AC17" s="370"/>
      <c r="AD17" s="370"/>
      <c r="AE17" s="378">
        <f ca="1">Table2[[#This Row],[End Date]]+2-TODAY()</f>
        <v>130</v>
      </c>
      <c r="AF17" s="370">
        <f>IF(ISBLANK(Table2[[#This Row],[Roster Received by]]),1,0)</f>
        <v>1</v>
      </c>
      <c r="AG17" s="377">
        <f ca="1">IF(Table2[[#This Row],[Start Date]]&gt;TODAY(),1,)</f>
        <v>1</v>
      </c>
      <c r="AH17" s="377">
        <f>IF(ISBLANK(Table2[[#This Row],[Primary Instructor]]),0,1)</f>
        <v>1</v>
      </c>
      <c r="AI17" s="377">
        <f>IF(ISBLANK(Table2[[#This Row],[Instructor 2]]),0,1)</f>
        <v>0</v>
      </c>
      <c r="AJ17" s="377">
        <f>Table2[[#This Row],[Course Length (Hours)]]/(SUM(Table2[[#This Row],[1]:[2]]))</f>
        <v>24</v>
      </c>
      <c r="AK17" s="370"/>
      <c r="AL17" s="377">
        <v>1</v>
      </c>
      <c r="AM17" s="403" t="str">
        <f>VLOOKUP(Table2[[#This Row],[Course Title]],'TSD-Data'!$A$1:$G$70,7,FALSE)</f>
        <v>N3</v>
      </c>
    </row>
    <row r="18" spans="1:39" s="380" customFormat="1" x14ac:dyDescent="0.25">
      <c r="A18" s="369"/>
      <c r="B18" s="390" t="s">
        <v>42</v>
      </c>
      <c r="C18" s="370" t="str">
        <f>VLOOKUP(Table2[[#This Row],[Course Title]],'TSD-Data'!$A$1:$E$70,2,FALSE)</f>
        <v>A-493-0015</v>
      </c>
      <c r="D18" s="370">
        <f>VLOOKUP(Table2[[#This Row],[Course Title]],'TSD-Data'!$A$1:$E$70,3,FALSE)</f>
        <v>3879</v>
      </c>
      <c r="E18" s="383" t="s">
        <v>170</v>
      </c>
      <c r="F18" s="391">
        <v>45945</v>
      </c>
      <c r="G18" s="391">
        <v>45945</v>
      </c>
      <c r="H18" s="371" t="s">
        <v>752</v>
      </c>
      <c r="I18" s="372">
        <v>0.33333333333333331</v>
      </c>
      <c r="J18" s="392"/>
      <c r="K18" s="371"/>
      <c r="L18" s="371"/>
      <c r="M18" s="371"/>
      <c r="N18" s="371"/>
      <c r="O18" s="371"/>
      <c r="P18" s="375" t="s">
        <v>297</v>
      </c>
      <c r="Q18" s="375"/>
      <c r="R18" s="375"/>
      <c r="S18" s="370">
        <f>VLOOKUP(Table2[[#This Row],[Course Title]],'TSD-Data'!$A$1:$E$70,4,FALSE)</f>
        <v>30</v>
      </c>
      <c r="T18" s="377">
        <f>VLOOKUP(Table2[[#This Row],[Course Title]],'TSD-Data'!$A$1:$F$70,6,FALSE)</f>
        <v>4</v>
      </c>
      <c r="U18" s="378">
        <f>VLOOKUP(Table2[[#This Row],[Course Title]],'TSD-Data'!$A$1:$F$70,5,FALSE)</f>
        <v>0.5</v>
      </c>
      <c r="V18" s="379">
        <v>17</v>
      </c>
      <c r="W18" s="377"/>
      <c r="X18" s="377"/>
      <c r="Y18" s="379"/>
      <c r="Z18" s="379"/>
      <c r="AA18" s="377"/>
      <c r="AB18" s="377"/>
      <c r="AC18" s="377"/>
      <c r="AD18" s="377"/>
      <c r="AE18" s="379">
        <f ca="1">Table2[[#This Row],[End Date]]+2-TODAY()</f>
        <v>129</v>
      </c>
      <c r="AF18" s="377">
        <f>IF(ISBLANK(Table2[[#This Row],[Roster Received by]]),1,0)</f>
        <v>1</v>
      </c>
      <c r="AG18" s="377">
        <f ca="1">IF(Table2[[#This Row],[Start Date]]&gt;TODAY(),1,)</f>
        <v>1</v>
      </c>
      <c r="AH18" s="377">
        <f>IF(ISBLANK(Table2[[#This Row],[Primary Instructor]]),0,1)</f>
        <v>1</v>
      </c>
      <c r="AI18" s="377">
        <f>IF(ISBLANK(Table2[[#This Row],[Instructor 2]]),0,1)</f>
        <v>0</v>
      </c>
      <c r="AJ18" s="377">
        <f>Table2[[#This Row],[Course Length (Hours)]]/(SUM(Table2[[#This Row],[1]:[2]]))</f>
        <v>4</v>
      </c>
      <c r="AK18" s="377"/>
      <c r="AL18" s="377">
        <v>1</v>
      </c>
      <c r="AM18" s="403" t="str">
        <f>VLOOKUP(Table2[[#This Row],[Course Title]],'TSD-Data'!$A$1:$G$70,7,FALSE)</f>
        <v>N3</v>
      </c>
    </row>
    <row r="19" spans="1:39" s="380" customFormat="1" x14ac:dyDescent="0.25">
      <c r="A19" s="368"/>
      <c r="B19" s="390" t="s">
        <v>44</v>
      </c>
      <c r="C19" s="370" t="str">
        <f>VLOOKUP(Table2[[#This Row],[Course Title]],'TSD-Data'!$A$1:$E$70,2,FALSE)</f>
        <v>A-493-0020</v>
      </c>
      <c r="D19" s="370">
        <f>VLOOKUP(Table2[[#This Row],[Course Title]],'TSD-Data'!$A$1:$E$70,3,FALSE)</f>
        <v>3888</v>
      </c>
      <c r="E19" s="383" t="s">
        <v>170</v>
      </c>
      <c r="F19" s="391">
        <v>45945</v>
      </c>
      <c r="G19" s="391">
        <v>45945</v>
      </c>
      <c r="H19" s="371" t="s">
        <v>752</v>
      </c>
      <c r="I19" s="372">
        <v>1300.5</v>
      </c>
      <c r="J19" s="372"/>
      <c r="K19" s="371"/>
      <c r="L19" s="371"/>
      <c r="M19" s="371"/>
      <c r="N19" s="371"/>
      <c r="O19" s="371"/>
      <c r="P19" s="375" t="s">
        <v>297</v>
      </c>
      <c r="Q19" s="375"/>
      <c r="R19" s="376"/>
      <c r="S19" s="370">
        <f>VLOOKUP(Table2[[#This Row],[Course Title]],'TSD-Data'!$A$1:$E$70,4,FALSE)</f>
        <v>30</v>
      </c>
      <c r="T19" s="377">
        <f>VLOOKUP(Table2[[#This Row],[Course Title]],'TSD-Data'!$A$1:$F$70,6,FALSE)</f>
        <v>4</v>
      </c>
      <c r="U19" s="378">
        <f>VLOOKUP(Table2[[#This Row],[Course Title]],'TSD-Data'!$A$1:$F$70,5,FALSE)</f>
        <v>0.5</v>
      </c>
      <c r="V19" s="379">
        <v>13</v>
      </c>
      <c r="W19" s="377"/>
      <c r="X19" s="377"/>
      <c r="Y19" s="378"/>
      <c r="Z19" s="378"/>
      <c r="AA19" s="370"/>
      <c r="AB19" s="370"/>
      <c r="AC19" s="370"/>
      <c r="AD19" s="370"/>
      <c r="AE19" s="378">
        <f ca="1">Table2[[#This Row],[End Date]]+2-TODAY()</f>
        <v>129</v>
      </c>
      <c r="AF19" s="370">
        <f>IF(ISBLANK(Table2[[#This Row],[Roster Received by]]),1,0)</f>
        <v>1</v>
      </c>
      <c r="AG19" s="377">
        <f ca="1">IF(Table2[[#This Row],[Start Date]]&gt;TODAY(),1,)</f>
        <v>1</v>
      </c>
      <c r="AH19" s="377">
        <f>IF(ISBLANK(Table2[[#This Row],[Primary Instructor]]),0,1)</f>
        <v>1</v>
      </c>
      <c r="AI19" s="377">
        <f>IF(ISBLANK(Table2[[#This Row],[Instructor 2]]),0,1)</f>
        <v>0</v>
      </c>
      <c r="AJ19" s="377">
        <f>Table2[[#This Row],[Course Length (Hours)]]/(SUM(Table2[[#This Row],[1]:[2]]))</f>
        <v>4</v>
      </c>
      <c r="AK19" s="370"/>
      <c r="AL19" s="377">
        <v>1</v>
      </c>
      <c r="AM19" s="403" t="str">
        <f>VLOOKUP(Table2[[#This Row],[Course Title]],'TSD-Data'!$A$1:$G$70,7,FALSE)</f>
        <v>N3</v>
      </c>
    </row>
    <row r="20" spans="1:39" s="380" customFormat="1" x14ac:dyDescent="0.25">
      <c r="A20" s="384" t="s">
        <v>469</v>
      </c>
      <c r="B20" s="385" t="s">
        <v>358</v>
      </c>
      <c r="C20" s="370" t="str">
        <f>VLOOKUP(Table2[[#This Row],[Course Title]],'TSD-Data'!$A$1:$E$70,2,FALSE)</f>
        <v>Function</v>
      </c>
      <c r="D20" s="370" t="str">
        <f>VLOOKUP(Table2[[#This Row],[Course Title]],'TSD-Data'!$A$1:$E$70,3,FALSE)</f>
        <v>Function</v>
      </c>
      <c r="E20" s="385" t="s">
        <v>169</v>
      </c>
      <c r="F20" s="387">
        <v>45946</v>
      </c>
      <c r="G20" s="387">
        <v>45946</v>
      </c>
      <c r="H20" s="371" t="s">
        <v>788</v>
      </c>
      <c r="I20" s="381"/>
      <c r="J20" s="388"/>
      <c r="K20" s="388"/>
      <c r="L20" s="388"/>
      <c r="M20" s="388"/>
      <c r="N20" s="388"/>
      <c r="O20" s="388"/>
      <c r="P20" s="386" t="s">
        <v>322</v>
      </c>
      <c r="Q20" s="386"/>
      <c r="R20" s="386"/>
      <c r="S20" s="370">
        <f>VLOOKUP(Table2[[#This Row],[Course Title]],'TSD-Data'!$A$1:$E$70,4,FALSE)</f>
        <v>0</v>
      </c>
      <c r="T20" s="377">
        <f>VLOOKUP(Table2[[#This Row],[Course Title]],'TSD-Data'!$A$1:$F$70,6,FALSE)</f>
        <v>0</v>
      </c>
      <c r="U20" s="378">
        <f>VLOOKUP(Table2[[#This Row],[Course Title]],'TSD-Data'!$A$1:$F$70,5,FALSE)</f>
        <v>0</v>
      </c>
      <c r="V20" s="389">
        <v>0</v>
      </c>
      <c r="W20" s="388">
        <v>0</v>
      </c>
      <c r="X20" s="388">
        <v>0</v>
      </c>
      <c r="Y20" s="388">
        <v>0</v>
      </c>
      <c r="Z20" s="388">
        <v>0</v>
      </c>
      <c r="AA20" s="388">
        <v>0</v>
      </c>
      <c r="AB20" s="388">
        <v>0</v>
      </c>
      <c r="AC20" s="388">
        <v>0</v>
      </c>
      <c r="AD20" s="388" t="s">
        <v>247</v>
      </c>
      <c r="AE20" s="379">
        <f ca="1">Table2[[#This Row],[End Date]]+2-TODAY()</f>
        <v>130</v>
      </c>
      <c r="AF20" s="388">
        <v>0</v>
      </c>
      <c r="AG20" s="388">
        <v>0</v>
      </c>
      <c r="AH20" s="388">
        <v>0</v>
      </c>
      <c r="AI20" s="388">
        <v>0</v>
      </c>
      <c r="AJ20" s="388" t="e">
        <v>#DIV/0!</v>
      </c>
      <c r="AK20" s="388">
        <v>0</v>
      </c>
      <c r="AL20" s="377">
        <v>1</v>
      </c>
      <c r="AM20" s="403" t="str">
        <f>VLOOKUP(Table2[[#This Row],[Course Title]],'TSD-Data'!$A$1:$G$70,7,FALSE)</f>
        <v>TSD</v>
      </c>
    </row>
    <row r="21" spans="1:39" s="380" customFormat="1" x14ac:dyDescent="0.25">
      <c r="A21" s="368"/>
      <c r="B21" s="383" t="s">
        <v>48</v>
      </c>
      <c r="C21" s="370" t="str">
        <f>VLOOKUP(Table2[[#This Row],[Course Title]],'TSD-Data'!$A$1:$E$70,2,FALSE)</f>
        <v>A-760-2166</v>
      </c>
      <c r="D21" s="370" t="str">
        <f>VLOOKUP(Table2[[#This Row],[Course Title]],'TSD-Data'!$A$1:$E$70,3,FALSE)</f>
        <v>438J</v>
      </c>
      <c r="E21" s="432" t="s">
        <v>170</v>
      </c>
      <c r="F21" s="371">
        <v>45946</v>
      </c>
      <c r="G21" s="371">
        <v>45947</v>
      </c>
      <c r="H21" s="371" t="s">
        <v>752</v>
      </c>
      <c r="I21" s="372">
        <v>0.33333333333333331</v>
      </c>
      <c r="J21" s="372"/>
      <c r="K21" s="371"/>
      <c r="L21" s="371"/>
      <c r="M21" s="371"/>
      <c r="N21" s="371"/>
      <c r="O21" s="371"/>
      <c r="P21" s="375" t="s">
        <v>293</v>
      </c>
      <c r="Q21" s="375" t="s">
        <v>297</v>
      </c>
      <c r="R21" s="376"/>
      <c r="S21" s="370">
        <f>VLOOKUP(Table2[[#This Row],[Course Title]],'TSD-Data'!$A$1:$E$70,4,FALSE)</f>
        <v>25</v>
      </c>
      <c r="T21" s="377">
        <f>VLOOKUP(Table2[[#This Row],[Course Title]],'TSD-Data'!$A$1:$F$70,6,FALSE)</f>
        <v>16</v>
      </c>
      <c r="U21" s="378">
        <f>VLOOKUP(Table2[[#This Row],[Course Title]],'TSD-Data'!$A$1:$F$70,5,FALSE)</f>
        <v>2</v>
      </c>
      <c r="V21" s="379">
        <v>13</v>
      </c>
      <c r="W21" s="377"/>
      <c r="X21" s="377"/>
      <c r="Y21" s="378"/>
      <c r="Z21" s="378"/>
      <c r="AA21" s="370"/>
      <c r="AB21" s="370"/>
      <c r="AC21" s="370"/>
      <c r="AD21" s="370"/>
      <c r="AE21" s="378">
        <f ca="1">Table2[[#This Row],[End Date]]+2-TODAY()</f>
        <v>131</v>
      </c>
      <c r="AF21" s="370">
        <f>IF(ISBLANK(Table2[[#This Row],[Roster Received by]]),1,0)</f>
        <v>1</v>
      </c>
      <c r="AG21" s="377">
        <f ca="1">IF(Table2[[#This Row],[Start Date]]&gt;TODAY(),1,)</f>
        <v>1</v>
      </c>
      <c r="AH21" s="377">
        <f>IF(ISBLANK(Table2[[#This Row],[Primary Instructor]]),0,1)</f>
        <v>1</v>
      </c>
      <c r="AI21" s="377">
        <f>IF(ISBLANK(Table2[[#This Row],[Instructor 2]]),0,1)</f>
        <v>1</v>
      </c>
      <c r="AJ21" s="377">
        <f>Table2[[#This Row],[Course Length (Hours)]]/(SUM(Table2[[#This Row],[1]:[2]]))</f>
        <v>8</v>
      </c>
      <c r="AK21" s="370"/>
      <c r="AL21" s="377">
        <v>1</v>
      </c>
      <c r="AM21" s="403" t="str">
        <f>VLOOKUP(Table2[[#This Row],[Course Title]],'TSD-Data'!$A$1:$G$70,7,FALSE)</f>
        <v>N3</v>
      </c>
    </row>
    <row r="22" spans="1:39" s="380" customFormat="1" x14ac:dyDescent="0.25">
      <c r="A22" s="368"/>
      <c r="B22" s="385" t="s">
        <v>45</v>
      </c>
      <c r="C22" s="370" t="str">
        <f>VLOOKUP(Table2[[#This Row],[Course Title]],'TSD-Data'!$A$1:$E$70,2,FALSE)</f>
        <v>A-493-0069</v>
      </c>
      <c r="D22" s="370" t="str">
        <f>VLOOKUP(Table2[[#This Row],[Course Title]],'TSD-Data'!$A$1:$E$70,3,FALSE)</f>
        <v>450U</v>
      </c>
      <c r="E22" s="383" t="s">
        <v>170</v>
      </c>
      <c r="F22" s="391">
        <v>45950</v>
      </c>
      <c r="G22" s="391">
        <v>45954</v>
      </c>
      <c r="H22" s="371" t="s">
        <v>752</v>
      </c>
      <c r="I22" s="372">
        <v>0.33333333333333331</v>
      </c>
      <c r="J22" s="372"/>
      <c r="K22" s="371"/>
      <c r="L22" s="371"/>
      <c r="M22" s="371"/>
      <c r="N22" s="371"/>
      <c r="O22" s="371"/>
      <c r="P22" s="375" t="s">
        <v>293</v>
      </c>
      <c r="Q22" s="375" t="s">
        <v>297</v>
      </c>
      <c r="R22" s="376"/>
      <c r="S22" s="370">
        <f>VLOOKUP(Table2[[#This Row],[Course Title]],'TSD-Data'!$A$1:$E$70,4,FALSE)</f>
        <v>25</v>
      </c>
      <c r="T22" s="377">
        <f>VLOOKUP(Table2[[#This Row],[Course Title]],'TSD-Data'!$A$1:$F$70,6,FALSE)</f>
        <v>40</v>
      </c>
      <c r="U22" s="378">
        <f>VLOOKUP(Table2[[#This Row],[Course Title]],'TSD-Data'!$A$1:$F$70,5,FALSE)</f>
        <v>5</v>
      </c>
      <c r="V22" s="379">
        <v>15</v>
      </c>
      <c r="W22" s="377"/>
      <c r="X22" s="377"/>
      <c r="Y22" s="378"/>
      <c r="Z22" s="378"/>
      <c r="AA22" s="370"/>
      <c r="AB22" s="370"/>
      <c r="AC22" s="370"/>
      <c r="AD22" s="370"/>
      <c r="AE22" s="378">
        <f ca="1">Table2[[#This Row],[End Date]]+2-TODAY()</f>
        <v>138</v>
      </c>
      <c r="AF22" s="370">
        <f>IF(ISBLANK(Table2[[#This Row],[Roster Received by]]),1,0)</f>
        <v>1</v>
      </c>
      <c r="AG22" s="377">
        <f ca="1">IF(Table2[[#This Row],[Start Date]]&gt;TODAY(),1,)</f>
        <v>1</v>
      </c>
      <c r="AH22" s="377">
        <f>IF(ISBLANK(Table2[[#This Row],[Primary Instructor]]),0,1)</f>
        <v>1</v>
      </c>
      <c r="AI22" s="377">
        <f>IF(ISBLANK(Table2[[#This Row],[Instructor 2]]),0,1)</f>
        <v>1</v>
      </c>
      <c r="AJ22" s="377">
        <f>Table2[[#This Row],[Course Length (Hours)]]/(SUM(Table2[[#This Row],[1]:[2]]))</f>
        <v>20</v>
      </c>
      <c r="AK22" s="370"/>
      <c r="AL22" s="377">
        <v>1</v>
      </c>
      <c r="AM22" s="403" t="str">
        <f>VLOOKUP(Table2[[#This Row],[Course Title]],'TSD-Data'!$A$1:$G$70,7,FALSE)</f>
        <v>N3</v>
      </c>
    </row>
    <row r="23" spans="1:39" s="380" customFormat="1" x14ac:dyDescent="0.25">
      <c r="A23" s="368" t="s">
        <v>567</v>
      </c>
      <c r="B23" s="383" t="s">
        <v>55</v>
      </c>
      <c r="C23" s="370" t="str">
        <f>VLOOKUP(Table2[[#This Row],[Course Title]],'TSD-Data'!$A$1:$E$70,2,FALSE)</f>
        <v>A-493-0103</v>
      </c>
      <c r="D23" s="370" t="str">
        <f>VLOOKUP(Table2[[#This Row],[Course Title]],'TSD-Data'!$A$1:$E$70,3,FALSE)</f>
        <v>12JY</v>
      </c>
      <c r="E23" s="432" t="s">
        <v>184</v>
      </c>
      <c r="F23" s="437">
        <v>45950</v>
      </c>
      <c r="G23" s="437">
        <v>45954</v>
      </c>
      <c r="H23" s="371" t="s">
        <v>752</v>
      </c>
      <c r="I23" s="372">
        <v>0.33333333333333331</v>
      </c>
      <c r="J23" s="374"/>
      <c r="K23" s="382"/>
      <c r="L23" s="382"/>
      <c r="M23" s="382"/>
      <c r="N23" s="382"/>
      <c r="O23" s="382"/>
      <c r="P23" s="375" t="s">
        <v>289</v>
      </c>
      <c r="Q23" s="375"/>
      <c r="R23" s="376"/>
      <c r="S23" s="370">
        <f>VLOOKUP(Table2[[#This Row],[Course Title]],'TSD-Data'!$A$1:$E$70,4,FALSE)</f>
        <v>25</v>
      </c>
      <c r="T23" s="377">
        <f>VLOOKUP(Table2[[#This Row],[Course Title]],'TSD-Data'!$A$1:$F$70,6,FALSE)</f>
        <v>40</v>
      </c>
      <c r="U23" s="378">
        <f>VLOOKUP(Table2[[#This Row],[Course Title]],'TSD-Data'!$A$1:$F$70,5,FALSE)</f>
        <v>5</v>
      </c>
      <c r="V23" s="379">
        <v>512</v>
      </c>
      <c r="W23" s="377"/>
      <c r="X23" s="377"/>
      <c r="Y23" s="378"/>
      <c r="Z23" s="378"/>
      <c r="AA23" s="370"/>
      <c r="AB23" s="370"/>
      <c r="AC23" s="370"/>
      <c r="AD23" s="370"/>
      <c r="AE23" s="378">
        <f ca="1">Table2[[#This Row],[End Date]]+2-TODAY()</f>
        <v>138</v>
      </c>
      <c r="AF23" s="370">
        <f>IF(ISBLANK(Table2[[#This Row],[Roster Received by]]),1,0)</f>
        <v>1</v>
      </c>
      <c r="AG23" s="377">
        <f ca="1">IF(Table2[[#This Row],[Start Date]]&gt;TODAY(),1,)</f>
        <v>1</v>
      </c>
      <c r="AH23" s="377">
        <f>IF(ISBLANK(Table2[[#This Row],[Primary Instructor]]),0,1)</f>
        <v>1</v>
      </c>
      <c r="AI23" s="377">
        <f>IF(ISBLANK(Table2[[#This Row],[Instructor 2]]),0,1)</f>
        <v>0</v>
      </c>
      <c r="AJ23" s="377">
        <f>Table2[[#This Row],[Course Length (Hours)]]/(SUM(Table2[[#This Row],[1]:[2]]))</f>
        <v>40</v>
      </c>
      <c r="AK23" s="370"/>
      <c r="AL23" s="377">
        <v>1</v>
      </c>
      <c r="AM23" s="403" t="str">
        <f>VLOOKUP(Table2[[#This Row],[Course Title]],'TSD-Data'!$A$1:$G$70,7,FALSE)</f>
        <v>N5</v>
      </c>
    </row>
    <row r="24" spans="1:39" s="380" customFormat="1" x14ac:dyDescent="0.25">
      <c r="A24" s="368"/>
      <c r="B24" s="383" t="s">
        <v>47</v>
      </c>
      <c r="C24" s="370" t="str">
        <f>VLOOKUP(Table2[[#This Row],[Course Title]],'TSD-Data'!$A$1:$E$70,2,FALSE)</f>
        <v>A-493-0030</v>
      </c>
      <c r="D24" s="370" t="str">
        <f>VLOOKUP(Table2[[#This Row],[Course Title]],'TSD-Data'!$A$1:$E$70,3,FALSE)</f>
        <v>286X</v>
      </c>
      <c r="E24" s="369" t="s">
        <v>169</v>
      </c>
      <c r="F24" s="371">
        <v>45950</v>
      </c>
      <c r="G24" s="371">
        <v>45954</v>
      </c>
      <c r="H24" s="371" t="s">
        <v>752</v>
      </c>
      <c r="I24" s="372">
        <v>0.33333333333333331</v>
      </c>
      <c r="J24" s="441"/>
      <c r="K24" s="437"/>
      <c r="L24" s="437"/>
      <c r="M24" s="437"/>
      <c r="N24" s="437"/>
      <c r="O24" s="437"/>
      <c r="P24" s="375" t="s">
        <v>304</v>
      </c>
      <c r="Q24" s="375"/>
      <c r="R24" s="376"/>
      <c r="S24" s="370">
        <f>VLOOKUP(Table2[[#This Row],[Course Title]],'TSD-Data'!$A$1:$E$70,4,FALSE)</f>
        <v>25</v>
      </c>
      <c r="T24" s="377">
        <f>VLOOKUP(Table2[[#This Row],[Course Title]],'TSD-Data'!$A$1:$F$70,6,FALSE)</f>
        <v>40</v>
      </c>
      <c r="U24" s="378">
        <f>VLOOKUP(Table2[[#This Row],[Course Title]],'TSD-Data'!$A$1:$F$70,5,FALSE)</f>
        <v>5</v>
      </c>
      <c r="V24" s="379">
        <v>195</v>
      </c>
      <c r="W24" s="377"/>
      <c r="X24" s="377"/>
      <c r="Y24" s="378"/>
      <c r="Z24" s="378"/>
      <c r="AA24" s="370"/>
      <c r="AB24" s="370"/>
      <c r="AC24" s="370"/>
      <c r="AD24" s="370"/>
      <c r="AE24" s="378">
        <f ca="1">Table2[[#This Row],[End Date]]+2-TODAY()</f>
        <v>138</v>
      </c>
      <c r="AF24" s="370">
        <f>IF(ISBLANK(Table2[[#This Row],[Roster Received by]]),1,0)</f>
        <v>1</v>
      </c>
      <c r="AG24" s="377">
        <f ca="1">IF(Table2[[#This Row],[Start Date]]&gt;TODAY(),1,)</f>
        <v>1</v>
      </c>
      <c r="AH24" s="377">
        <f>IF(ISBLANK(Table2[[#This Row],[Primary Instructor]]),0,1)</f>
        <v>1</v>
      </c>
      <c r="AI24" s="377">
        <f>IF(ISBLANK(Table2[[#This Row],[Instructor 2]]),0,1)</f>
        <v>0</v>
      </c>
      <c r="AJ24" s="377">
        <f>Table2[[#This Row],[Course Length (Hours)]]/(SUM(Table2[[#This Row],[1]:[2]]))</f>
        <v>40</v>
      </c>
      <c r="AK24" s="370"/>
      <c r="AL24" s="377">
        <v>1</v>
      </c>
      <c r="AM24" s="403" t="str">
        <f>VLOOKUP(Table2[[#This Row],[Course Title]],'TSD-Data'!$A$1:$G$70,7,FALSE)</f>
        <v>N3</v>
      </c>
    </row>
    <row r="25" spans="1:39" s="380" customFormat="1" x14ac:dyDescent="0.25">
      <c r="A25" s="425"/>
      <c r="B25" s="484" t="s">
        <v>17</v>
      </c>
      <c r="C25" s="370" t="str">
        <f>VLOOKUP(Table2[[#This Row],[Course Title]],'TSD-Data'!$A$1:$E$70,2,FALSE)</f>
        <v>A-493-0012</v>
      </c>
      <c r="D25" s="370">
        <f>VLOOKUP(Table2[[#This Row],[Course Title]],'TSD-Data'!$A$1:$E$70,3,FALSE)</f>
        <v>3682</v>
      </c>
      <c r="E25" s="401" t="s">
        <v>167</v>
      </c>
      <c r="F25" s="426">
        <v>45950</v>
      </c>
      <c r="G25" s="426">
        <v>45954</v>
      </c>
      <c r="H25" s="371" t="s">
        <v>752</v>
      </c>
      <c r="I25" s="372">
        <v>0.33333333333333331</v>
      </c>
      <c r="J25" s="374"/>
      <c r="K25" s="382"/>
      <c r="L25" s="382"/>
      <c r="M25" s="382"/>
      <c r="N25" s="382"/>
      <c r="O25" s="382"/>
      <c r="P25" s="375" t="s">
        <v>241</v>
      </c>
      <c r="Q25" s="375"/>
      <c r="R25" s="376"/>
      <c r="S25" s="370">
        <f>VLOOKUP(Table2[[#This Row],[Course Title]],'TSD-Data'!$A$1:$E$70,4,FALSE)</f>
        <v>40</v>
      </c>
      <c r="T25" s="377">
        <f>VLOOKUP(Table2[[#This Row],[Course Title]],'TSD-Data'!$A$1:$F$70,6,FALSE)</f>
        <v>40</v>
      </c>
      <c r="U25" s="378">
        <f>VLOOKUP(Table2[[#This Row],[Course Title]],'TSD-Data'!$A$1:$F$70,5,FALSE)</f>
        <v>5</v>
      </c>
      <c r="V25" s="377">
        <v>30</v>
      </c>
      <c r="W25" s="377"/>
      <c r="X25" s="377"/>
      <c r="Y25" s="378"/>
      <c r="Z25" s="378"/>
      <c r="AA25" s="370"/>
      <c r="AB25" s="370"/>
      <c r="AC25" s="370"/>
      <c r="AD25" s="370"/>
      <c r="AE25" s="378" t="e">
        <v>#REF!</v>
      </c>
      <c r="AF25" s="370">
        <v>1</v>
      </c>
      <c r="AG25" s="377" t="e">
        <v>#REF!</v>
      </c>
      <c r="AH25" s="377">
        <v>1</v>
      </c>
      <c r="AI25" s="377">
        <v>0</v>
      </c>
      <c r="AJ25" s="377">
        <v>40</v>
      </c>
      <c r="AK25" s="370"/>
      <c r="AL25" s="377">
        <v>1</v>
      </c>
      <c r="AM25" s="403" t="str">
        <f>VLOOKUP(Table2[[#This Row],[Course Title]],'TSD-Data'!$A$1:$G$70,7,FALSE)</f>
        <v>N4</v>
      </c>
    </row>
    <row r="26" spans="1:39" s="380" customFormat="1" x14ac:dyDescent="0.25">
      <c r="A26" s="368"/>
      <c r="B26" s="369" t="s">
        <v>120</v>
      </c>
      <c r="C26" s="370" t="str">
        <f>VLOOKUP(Table2[[#This Row],[Course Title]],'TSD-Data'!$A$1:$E$70,2,FALSE)</f>
        <v>A-322-2604</v>
      </c>
      <c r="D26" s="370" t="str">
        <f>VLOOKUP(Table2[[#This Row],[Course Title]],'TSD-Data'!$A$1:$E$70,3,FALSE)</f>
        <v>10ZZ</v>
      </c>
      <c r="E26" s="369" t="s">
        <v>86</v>
      </c>
      <c r="F26" s="371">
        <v>45950</v>
      </c>
      <c r="G26" s="371">
        <v>45952</v>
      </c>
      <c r="H26" s="371" t="s">
        <v>752</v>
      </c>
      <c r="I26" s="372"/>
      <c r="J26" s="381">
        <v>1900.7916666666667</v>
      </c>
      <c r="K26" s="381">
        <v>0.66666666666666663</v>
      </c>
      <c r="L26" s="381">
        <v>8.3333333333333329E-2</v>
      </c>
      <c r="M26" s="381">
        <v>0</v>
      </c>
      <c r="N26" s="381">
        <v>0.54166666666666663</v>
      </c>
      <c r="O26" s="381">
        <v>0.33333333333333331</v>
      </c>
      <c r="P26" s="375" t="s">
        <v>252</v>
      </c>
      <c r="Q26" s="375"/>
      <c r="R26" s="376"/>
      <c r="S26" s="370">
        <f>VLOOKUP(Table2[[#This Row],[Course Title]],'TSD-Data'!$A$1:$E$70,4,FALSE)</f>
        <v>45</v>
      </c>
      <c r="T26" s="377">
        <f>VLOOKUP(Table2[[#This Row],[Course Title]],'TSD-Data'!$A$1:$F$70,6,FALSE)</f>
        <v>24</v>
      </c>
      <c r="U26" s="378">
        <f>VLOOKUP(Table2[[#This Row],[Course Title]],'TSD-Data'!$A$1:$F$70,5,FALSE)</f>
        <v>3</v>
      </c>
      <c r="V26" s="379">
        <v>174</v>
      </c>
      <c r="W26" s="377"/>
      <c r="X26" s="377"/>
      <c r="Y26" s="378"/>
      <c r="Z26" s="378"/>
      <c r="AA26" s="370"/>
      <c r="AB26" s="370"/>
      <c r="AC26" s="370"/>
      <c r="AD26" s="370"/>
      <c r="AE26" s="378">
        <f ca="1">Table2[[#This Row],[End Date]]+2-TODAY()</f>
        <v>136</v>
      </c>
      <c r="AF26" s="370">
        <f>IF(ISBLANK(Table2[[#This Row],[Roster Received by]]),1,0)</f>
        <v>1</v>
      </c>
      <c r="AG26" s="377">
        <f ca="1">IF(Table2[[#This Row],[Start Date]]&gt;TODAY(),1,)</f>
        <v>1</v>
      </c>
      <c r="AH26" s="377">
        <f>IF(ISBLANK(Table2[[#This Row],[Primary Instructor]]),0,1)</f>
        <v>1</v>
      </c>
      <c r="AI26" s="377">
        <f>IF(ISBLANK(Table2[[#This Row],[Instructor 2]]),0,1)</f>
        <v>0</v>
      </c>
      <c r="AJ26" s="377">
        <f>Table2[[#This Row],[Course Length (Hours)]]/(SUM(Table2[[#This Row],[1]:[2]]))</f>
        <v>24</v>
      </c>
      <c r="AK26" s="370"/>
      <c r="AL26" s="377">
        <v>1</v>
      </c>
      <c r="AM26" s="403" t="str">
        <f>VLOOKUP(Table2[[#This Row],[Course Title]],'TSD-Data'!$A$1:$G$70,7,FALSE)</f>
        <v>N3</v>
      </c>
    </row>
    <row r="27" spans="1:39" s="380" customFormat="1" x14ac:dyDescent="0.25">
      <c r="A27" s="368"/>
      <c r="B27" s="369" t="s">
        <v>59</v>
      </c>
      <c r="C27" s="370" t="str">
        <f>VLOOKUP(Table2[[#This Row],[Course Title]],'TSD-Data'!$A$1:$E$70,2,FALSE)</f>
        <v>A-493-0550</v>
      </c>
      <c r="D27" s="370" t="str">
        <f>VLOOKUP(Table2[[#This Row],[Course Title]],'TSD-Data'!$A$1:$E$70,3,FALSE)</f>
        <v>09K5</v>
      </c>
      <c r="E27" s="369" t="s">
        <v>86</v>
      </c>
      <c r="F27" s="371">
        <v>45950</v>
      </c>
      <c r="G27" s="371">
        <v>45953</v>
      </c>
      <c r="H27" s="371" t="s">
        <v>752</v>
      </c>
      <c r="I27" s="372"/>
      <c r="J27" s="439">
        <v>0.5</v>
      </c>
      <c r="K27" s="439">
        <v>0.375</v>
      </c>
      <c r="L27" s="439">
        <v>0.79166666666666663</v>
      </c>
      <c r="M27" s="439">
        <v>0.75</v>
      </c>
      <c r="N27" s="439">
        <v>0.25</v>
      </c>
      <c r="O27" s="439">
        <v>4.1666666666666664E-2</v>
      </c>
      <c r="P27" s="375" t="s">
        <v>272</v>
      </c>
      <c r="Q27" s="375"/>
      <c r="R27" s="376"/>
      <c r="S27" s="370">
        <f>VLOOKUP(Table2[[#This Row],[Course Title]],'TSD-Data'!$A$1:$E$70,4,FALSE)</f>
        <v>45</v>
      </c>
      <c r="T27" s="377">
        <f>VLOOKUP(Table2[[#This Row],[Course Title]],'TSD-Data'!$A$1:$F$70,6,FALSE)</f>
        <v>32</v>
      </c>
      <c r="U27" s="378">
        <f>VLOOKUP(Table2[[#This Row],[Course Title]],'TSD-Data'!$A$1:$F$70,5,FALSE)</f>
        <v>4</v>
      </c>
      <c r="V27" s="379">
        <v>864</v>
      </c>
      <c r="W27" s="377"/>
      <c r="X27" s="377"/>
      <c r="Y27" s="378"/>
      <c r="Z27" s="378"/>
      <c r="AA27" s="370"/>
      <c r="AB27" s="370"/>
      <c r="AC27" s="370"/>
      <c r="AD27" s="370"/>
      <c r="AE27" s="378">
        <f ca="1">Table2[[#This Row],[End Date]]+2-TODAY()</f>
        <v>137</v>
      </c>
      <c r="AF27" s="370">
        <f>IF(ISBLANK(Table2[[#This Row],[Roster Received by]]),1,0)</f>
        <v>1</v>
      </c>
      <c r="AG27" s="377">
        <f ca="1">IF(Table2[[#This Row],[Start Date]]&gt;TODAY(),1,)</f>
        <v>1</v>
      </c>
      <c r="AH27" s="377">
        <f>IF(ISBLANK(Table2[[#This Row],[Primary Instructor]]),0,1)</f>
        <v>1</v>
      </c>
      <c r="AI27" s="377">
        <f>IF(ISBLANK(Table2[[#This Row],[Instructor 2]]),0,1)</f>
        <v>0</v>
      </c>
      <c r="AJ27" s="377">
        <f>Table2[[#This Row],[Course Length (Hours)]]/(SUM(Table2[[#This Row],[1]:[2]]))</f>
        <v>32</v>
      </c>
      <c r="AK27" s="370"/>
      <c r="AL27" s="377">
        <v>1</v>
      </c>
      <c r="AM27" s="403" t="str">
        <f>VLOOKUP(Table2[[#This Row],[Course Title]],'TSD-Data'!$A$1:$G$70,7,FALSE)</f>
        <v>N5</v>
      </c>
    </row>
    <row r="28" spans="1:39" s="380" customFormat="1" x14ac:dyDescent="0.25">
      <c r="A28" s="368"/>
      <c r="B28" s="369" t="s">
        <v>61</v>
      </c>
      <c r="C28" s="370" t="str">
        <f>VLOOKUP(Table2[[#This Row],[Course Title]],'TSD-Data'!$A$1:$E$70,2,FALSE)</f>
        <v>A-493-0078</v>
      </c>
      <c r="D28" s="370">
        <f>VLOOKUP(Table2[[#This Row],[Course Title]],'TSD-Data'!$A$1:$E$70,3,FALSE)</f>
        <v>1228</v>
      </c>
      <c r="E28" s="369" t="s">
        <v>86</v>
      </c>
      <c r="F28" s="371">
        <v>45950</v>
      </c>
      <c r="G28" s="371">
        <v>45953</v>
      </c>
      <c r="H28" s="371" t="s">
        <v>752</v>
      </c>
      <c r="I28" s="372"/>
      <c r="J28" s="381">
        <v>0.33333333333333331</v>
      </c>
      <c r="K28" s="372">
        <v>0.20833333333333334</v>
      </c>
      <c r="L28" s="372">
        <v>0.625</v>
      </c>
      <c r="M28" s="372">
        <v>0.54166666666666663</v>
      </c>
      <c r="N28" s="372">
        <v>8.3333333333333329E-2</v>
      </c>
      <c r="O28" s="372">
        <v>0.875</v>
      </c>
      <c r="P28" s="375" t="s">
        <v>256</v>
      </c>
      <c r="Q28" s="375"/>
      <c r="R28" s="376"/>
      <c r="S28" s="370">
        <f>VLOOKUP(Table2[[#This Row],[Course Title]],'TSD-Data'!$A$1:$E$70,4,FALSE)</f>
        <v>45</v>
      </c>
      <c r="T28" s="377">
        <f>VLOOKUP(Table2[[#This Row],[Course Title]],'TSD-Data'!$A$1:$F$70,6,FALSE)</f>
        <v>32</v>
      </c>
      <c r="U28" s="378">
        <f>VLOOKUP(Table2[[#This Row],[Course Title]],'TSD-Data'!$A$1:$F$70,5,FALSE)</f>
        <v>4</v>
      </c>
      <c r="V28" s="379">
        <v>454</v>
      </c>
      <c r="W28" s="377"/>
      <c r="X28" s="377"/>
      <c r="Y28" s="378"/>
      <c r="Z28" s="378"/>
      <c r="AA28" s="370"/>
      <c r="AB28" s="370"/>
      <c r="AC28" s="370"/>
      <c r="AD28" s="370"/>
      <c r="AE28" s="378">
        <f ca="1">Table2[[#This Row],[End Date]]+2-TODAY()</f>
        <v>137</v>
      </c>
      <c r="AF28" s="370">
        <f>IF(ISBLANK(Table2[[#This Row],[Roster Received by]]),1,0)</f>
        <v>1</v>
      </c>
      <c r="AG28" s="377">
        <f ca="1">IF(Table2[[#This Row],[Start Date]]&gt;TODAY(),1,)</f>
        <v>1</v>
      </c>
      <c r="AH28" s="377">
        <f>IF(ISBLANK(Table2[[#This Row],[Primary Instructor]]),0,1)</f>
        <v>1</v>
      </c>
      <c r="AI28" s="377">
        <f>IF(ISBLANK(Table2[[#This Row],[Instructor 2]]),0,1)</f>
        <v>0</v>
      </c>
      <c r="AJ28" s="377">
        <f>Table2[[#This Row],[Course Length (Hours)]]/(SUM(Table2[[#This Row],[1]:[2]]))</f>
        <v>32</v>
      </c>
      <c r="AK28" s="370"/>
      <c r="AL28" s="377">
        <v>1</v>
      </c>
      <c r="AM28" s="403" t="str">
        <f>VLOOKUP(Table2[[#This Row],[Course Title]],'TSD-Data'!$A$1:$G$70,7,FALSE)</f>
        <v>N5</v>
      </c>
    </row>
    <row r="29" spans="1:39" s="380" customFormat="1" x14ac:dyDescent="0.25">
      <c r="A29" s="368"/>
      <c r="B29" s="369" t="s">
        <v>365</v>
      </c>
      <c r="C29" s="370" t="str">
        <f>VLOOKUP(Table2[[#This Row],[Course Title]],'TSD-Data'!$A$1:$E$70,2,FALSE)</f>
        <v>A-493-3002</v>
      </c>
      <c r="D29" s="370" t="str">
        <f>VLOOKUP(Table2[[#This Row],[Course Title]],'TSD-Data'!$A$1:$E$70,3,FALSE)</f>
        <v>31V4</v>
      </c>
      <c r="E29" s="369" t="s">
        <v>86</v>
      </c>
      <c r="F29" s="371">
        <v>45950</v>
      </c>
      <c r="G29" s="371">
        <v>45950</v>
      </c>
      <c r="H29" s="371" t="s">
        <v>752</v>
      </c>
      <c r="I29" s="372"/>
      <c r="J29" s="373">
        <v>0.33333333333333331</v>
      </c>
      <c r="K29" s="374">
        <v>0.20833333333333334</v>
      </c>
      <c r="L29" s="374">
        <v>0.625</v>
      </c>
      <c r="M29" s="374">
        <v>0.54166666666666663</v>
      </c>
      <c r="N29" s="374">
        <v>8.3333333333333329E-2</v>
      </c>
      <c r="O29" s="374">
        <v>0.875</v>
      </c>
      <c r="P29" s="375" t="s">
        <v>325</v>
      </c>
      <c r="Q29" s="375"/>
      <c r="R29" s="376"/>
      <c r="S29" s="370">
        <f>VLOOKUP(Table2[[#This Row],[Course Title]],'TSD-Data'!$A$1:$E$70,4,FALSE)</f>
        <v>100</v>
      </c>
      <c r="T29" s="377">
        <f>VLOOKUP(Table2[[#This Row],[Course Title]],'TSD-Data'!$A$1:$F$70,6,FALSE)</f>
        <v>8</v>
      </c>
      <c r="U29" s="378">
        <f>VLOOKUP(Table2[[#This Row],[Course Title]],'TSD-Data'!$A$1:$F$70,5,FALSE)</f>
        <v>1</v>
      </c>
      <c r="V29" s="379">
        <v>0</v>
      </c>
      <c r="W29" s="377"/>
      <c r="X29" s="377"/>
      <c r="Y29" s="378"/>
      <c r="Z29" s="378"/>
      <c r="AA29" s="370"/>
      <c r="AB29" s="370"/>
      <c r="AC29" s="370"/>
      <c r="AD29" s="370"/>
      <c r="AE29" s="378">
        <f ca="1">Table2[[#This Row],[End Date]]+2-TODAY()</f>
        <v>134</v>
      </c>
      <c r="AF29" s="370">
        <f>IF(ISBLANK(Table2[[#This Row],[Roster Received by]]),1,0)</f>
        <v>1</v>
      </c>
      <c r="AG29" s="377">
        <f ca="1">IF(Table2[[#This Row],[Start Date]]&gt;TODAY(),1,)</f>
        <v>1</v>
      </c>
      <c r="AH29" s="377">
        <f>IF(ISBLANK(Table2[[#This Row],[Primary Instructor]]),0,1)</f>
        <v>1</v>
      </c>
      <c r="AI29" s="377">
        <f>IF(ISBLANK(Table2[[#This Row],[Instructor 2]]),0,1)</f>
        <v>0</v>
      </c>
      <c r="AJ29" s="377">
        <f>Table2[[#This Row],[Course Length (Hours)]]/(SUM(Table2[[#This Row],[1]:[2]]))</f>
        <v>8</v>
      </c>
      <c r="AK29" s="370"/>
      <c r="AL29" s="377">
        <v>1</v>
      </c>
      <c r="AM29" s="403" t="str">
        <f>VLOOKUP(Table2[[#This Row],[Course Title]],'TSD-Data'!$A$1:$G$70,7,FALSE)</f>
        <v>N1</v>
      </c>
    </row>
    <row r="30" spans="1:39" s="380" customFormat="1" x14ac:dyDescent="0.25">
      <c r="A30" s="368"/>
      <c r="B30" s="369" t="s">
        <v>329</v>
      </c>
      <c r="C30" s="370" t="str">
        <f>VLOOKUP(Table2[[#This Row],[Course Title]],'TSD-Data'!$A$1:$E$70,2,FALSE)</f>
        <v>A-4J-0019</v>
      </c>
      <c r="D30" s="370" t="str">
        <f>VLOOKUP(Table2[[#This Row],[Course Title]],'TSD-Data'!$A$1:$E$70,3,FALSE)</f>
        <v>28SL/285M</v>
      </c>
      <c r="E30" s="369" t="s">
        <v>171</v>
      </c>
      <c r="F30" s="371">
        <v>45950</v>
      </c>
      <c r="G30" s="371">
        <v>45954</v>
      </c>
      <c r="H30" s="371" t="s">
        <v>752</v>
      </c>
      <c r="I30" s="372">
        <v>0.3125</v>
      </c>
      <c r="J30" s="372"/>
      <c r="K30" s="371"/>
      <c r="L30" s="371"/>
      <c r="M30" s="371"/>
      <c r="N30" s="371"/>
      <c r="O30" s="371"/>
      <c r="P30" s="375" t="s">
        <v>310</v>
      </c>
      <c r="Q30" s="375" t="s">
        <v>311</v>
      </c>
      <c r="R30" s="376"/>
      <c r="S30" s="370">
        <f>VLOOKUP(Table2[[#This Row],[Course Title]],'TSD-Data'!$A$1:$E$70,4,FALSE)</f>
        <v>20</v>
      </c>
      <c r="T30" s="377">
        <f>VLOOKUP(Table2[[#This Row],[Course Title]],'TSD-Data'!$A$1:$F$70,6,FALSE)</f>
        <v>40</v>
      </c>
      <c r="U30" s="378">
        <f>VLOOKUP(Table2[[#This Row],[Course Title]],'TSD-Data'!$A$1:$F$70,5,FALSE)</f>
        <v>5</v>
      </c>
      <c r="V30" s="379">
        <v>148</v>
      </c>
      <c r="W30" s="377"/>
      <c r="X30" s="377"/>
      <c r="Y30" s="378"/>
      <c r="Z30" s="378"/>
      <c r="AA30" s="370"/>
      <c r="AB30" s="370"/>
      <c r="AC30" s="370"/>
      <c r="AD30" s="370"/>
      <c r="AE30" s="378">
        <f ca="1">Table2[[#This Row],[End Date]]+2-TODAY()</f>
        <v>138</v>
      </c>
      <c r="AF30" s="370">
        <f>IF(ISBLANK(Table2[[#This Row],[Roster Received by]]),1,0)</f>
        <v>1</v>
      </c>
      <c r="AG30" s="377">
        <f ca="1">IF(Table2[[#This Row],[Start Date]]&gt;TODAY(),1,)</f>
        <v>1</v>
      </c>
      <c r="AH30" s="377">
        <f>IF(ISBLANK(Table2[[#This Row],[Primary Instructor]]),0,1)</f>
        <v>1</v>
      </c>
      <c r="AI30" s="377">
        <f>IF(ISBLANK(Table2[[#This Row],[Instructor 2]]),0,1)</f>
        <v>1</v>
      </c>
      <c r="AJ30" s="377">
        <f>Table2[[#This Row],[Course Length (Hours)]]/(SUM(Table2[[#This Row],[1]:[2]]))</f>
        <v>20</v>
      </c>
      <c r="AK30" s="370"/>
      <c r="AL30" s="377">
        <v>1</v>
      </c>
      <c r="AM30" s="403" t="str">
        <f>VLOOKUP(Table2[[#This Row],[Course Title]],'TSD-Data'!$A$1:$G$70,7,FALSE)</f>
        <v>N1</v>
      </c>
    </row>
    <row r="31" spans="1:39" s="380" customFormat="1" x14ac:dyDescent="0.25">
      <c r="A31" s="368"/>
      <c r="B31" s="369" t="s">
        <v>40</v>
      </c>
      <c r="C31" s="370" t="str">
        <f>VLOOKUP(Table2[[#This Row],[Course Title]],'TSD-Data'!$A$1:$E$70,2,FALSE)</f>
        <v>A-493-2098</v>
      </c>
      <c r="D31" s="370" t="str">
        <f>VLOOKUP(Table2[[#This Row],[Course Title]],'TSD-Data'!$A$1:$E$70,3,FALSE)</f>
        <v>09WW</v>
      </c>
      <c r="E31" s="369" t="s">
        <v>86</v>
      </c>
      <c r="F31" s="371">
        <v>45950</v>
      </c>
      <c r="G31" s="371">
        <v>45952</v>
      </c>
      <c r="H31" s="371" t="s">
        <v>752</v>
      </c>
      <c r="I31" s="372"/>
      <c r="J31" s="439">
        <v>0.5</v>
      </c>
      <c r="K31" s="439">
        <v>0.375</v>
      </c>
      <c r="L31" s="439">
        <v>0.79166666666666663</v>
      </c>
      <c r="M31" s="439">
        <v>0.75</v>
      </c>
      <c r="N31" s="439">
        <v>0.25</v>
      </c>
      <c r="O31" s="439">
        <v>4.1666666666666664E-2</v>
      </c>
      <c r="P31" s="375" t="s">
        <v>244</v>
      </c>
      <c r="Q31" s="375"/>
      <c r="R31" s="376"/>
      <c r="S31" s="370">
        <f>VLOOKUP(Table2[[#This Row],[Course Title]],'TSD-Data'!$A$1:$E$70,4,FALSE)</f>
        <v>100</v>
      </c>
      <c r="T31" s="377">
        <f>VLOOKUP(Table2[[#This Row],[Course Title]],'TSD-Data'!$A$1:$F$70,6,FALSE)</f>
        <v>16</v>
      </c>
      <c r="U31" s="378">
        <f>VLOOKUP(Table2[[#This Row],[Course Title]],'TSD-Data'!$A$1:$F$70,5,FALSE)</f>
        <v>3</v>
      </c>
      <c r="V31" s="379">
        <v>1882</v>
      </c>
      <c r="W31" s="377"/>
      <c r="X31" s="377"/>
      <c r="Y31" s="378"/>
      <c r="Z31" s="378"/>
      <c r="AA31" s="370"/>
      <c r="AB31" s="370"/>
      <c r="AC31" s="370"/>
      <c r="AD31" s="370"/>
      <c r="AE31" s="378">
        <f ca="1">Table2[[#This Row],[End Date]]+2-TODAY()</f>
        <v>136</v>
      </c>
      <c r="AF31" s="370">
        <f>IF(ISBLANK(Table2[[#This Row],[Roster Received by]]),1,0)</f>
        <v>1</v>
      </c>
      <c r="AG31" s="377">
        <f ca="1">IF(Table2[[#This Row],[Start Date]]&gt;TODAY(),1,)</f>
        <v>1</v>
      </c>
      <c r="AH31" s="377">
        <f>IF(ISBLANK(Table2[[#This Row],[Primary Instructor]]),0,1)</f>
        <v>1</v>
      </c>
      <c r="AI31" s="377">
        <f>IF(ISBLANK(Table2[[#This Row],[Instructor 2]]),0,1)</f>
        <v>0</v>
      </c>
      <c r="AJ31" s="377">
        <f>Table2[[#This Row],[Course Length (Hours)]]/(SUM(Table2[[#This Row],[1]:[2]]))</f>
        <v>16</v>
      </c>
      <c r="AK31" s="370"/>
      <c r="AL31" s="377">
        <v>1</v>
      </c>
      <c r="AM31" s="403" t="str">
        <f>VLOOKUP(Table2[[#This Row],[Course Title]],'TSD-Data'!$A$1:$G$70,7,FALSE)</f>
        <v>N1</v>
      </c>
    </row>
    <row r="32" spans="1:39" s="380" customFormat="1" x14ac:dyDescent="0.25">
      <c r="A32" s="368"/>
      <c r="B32" s="383" t="s">
        <v>395</v>
      </c>
      <c r="C32" s="370" t="str">
        <f>VLOOKUP(Table2[[#This Row],[Course Title]],'TSD-Data'!$A$1:$E$70,2,FALSE)</f>
        <v>A-493-3011</v>
      </c>
      <c r="D32" s="370" t="str">
        <f>VLOOKUP(Table2[[#This Row],[Course Title]],'TSD-Data'!$A$1:$E$70,3,FALSE)</f>
        <v>31VD</v>
      </c>
      <c r="E32" s="369" t="s">
        <v>86</v>
      </c>
      <c r="F32" s="371">
        <v>45951</v>
      </c>
      <c r="G32" s="371">
        <v>45951</v>
      </c>
      <c r="H32" s="371" t="s">
        <v>752</v>
      </c>
      <c r="I32" s="372"/>
      <c r="J32" s="373">
        <v>0.54166666666666663</v>
      </c>
      <c r="K32" s="374">
        <v>0.41666666666666669</v>
      </c>
      <c r="L32" s="374">
        <v>0.83333333333333337</v>
      </c>
      <c r="M32" s="374">
        <v>0.79166666666666663</v>
      </c>
      <c r="N32" s="374">
        <v>0.29166666666666669</v>
      </c>
      <c r="O32" s="374">
        <v>8.3333333333333329E-2</v>
      </c>
      <c r="P32" s="375" t="s">
        <v>325</v>
      </c>
      <c r="Q32" s="375"/>
      <c r="R32" s="376"/>
      <c r="S32" s="370">
        <f>VLOOKUP(Table2[[#This Row],[Course Title]],'TSD-Data'!$A$1:$E$70,4,FALSE)</f>
        <v>100</v>
      </c>
      <c r="T32" s="377">
        <f>VLOOKUP(Table2[[#This Row],[Course Title]],'TSD-Data'!$A$1:$F$70,6,FALSE)</f>
        <v>2.5</v>
      </c>
      <c r="U32" s="378">
        <f>VLOOKUP(Table2[[#This Row],[Course Title]],'TSD-Data'!$A$1:$F$70,5,FALSE)</f>
        <v>0.3</v>
      </c>
      <c r="V32" s="379">
        <v>0</v>
      </c>
      <c r="W32" s="377"/>
      <c r="X32" s="377"/>
      <c r="Y32" s="378"/>
      <c r="Z32" s="378"/>
      <c r="AA32" s="370"/>
      <c r="AB32" s="370"/>
      <c r="AC32" s="370"/>
      <c r="AD32" s="370"/>
      <c r="AE32" s="378">
        <f ca="1">Table2[[#This Row],[End Date]]+2-TODAY()</f>
        <v>135</v>
      </c>
      <c r="AF32" s="370">
        <f>IF(ISBLANK(Table2[[#This Row],[Roster Received by]]),1,0)</f>
        <v>1</v>
      </c>
      <c r="AG32" s="377">
        <f ca="1">IF(Table2[[#This Row],[Start Date]]&gt;TODAY(),1,)</f>
        <v>1</v>
      </c>
      <c r="AH32" s="377">
        <f>IF(ISBLANK(Table2[[#This Row],[Primary Instructor]]),0,1)</f>
        <v>1</v>
      </c>
      <c r="AI32" s="377">
        <f>IF(ISBLANK(Table2[[#This Row],[Instructor 2]]),0,1)</f>
        <v>0</v>
      </c>
      <c r="AJ32" s="377">
        <f>Table2[[#This Row],[Course Length (Hours)]]/(SUM(Table2[[#This Row],[1]:[2]]))</f>
        <v>2.5</v>
      </c>
      <c r="AK32" s="370"/>
      <c r="AL32" s="377">
        <v>1</v>
      </c>
      <c r="AM32" s="403" t="str">
        <f>VLOOKUP(Table2[[#This Row],[Course Title]],'TSD-Data'!$A$1:$G$70,7,FALSE)</f>
        <v>N1</v>
      </c>
    </row>
    <row r="33" spans="1:39" s="380" customFormat="1" x14ac:dyDescent="0.25">
      <c r="A33" s="368"/>
      <c r="B33" s="383" t="s">
        <v>391</v>
      </c>
      <c r="C33" s="370" t="str">
        <f>VLOOKUP(Table2[[#This Row],[Course Title]],'TSD-Data'!$A$1:$E$70,2,FALSE)</f>
        <v>A-493-3010</v>
      </c>
      <c r="D33" s="370" t="str">
        <f>VLOOKUP(Table2[[#This Row],[Course Title]],'TSD-Data'!$A$1:$E$70,3,FALSE)</f>
        <v>31VC</v>
      </c>
      <c r="E33" s="369" t="s">
        <v>86</v>
      </c>
      <c r="F33" s="371">
        <v>45951</v>
      </c>
      <c r="G33" s="371">
        <v>45951</v>
      </c>
      <c r="H33" s="371" t="s">
        <v>752</v>
      </c>
      <c r="I33" s="372"/>
      <c r="J33" s="381">
        <v>0.33333333333333331</v>
      </c>
      <c r="K33" s="372">
        <v>0.20833333333333334</v>
      </c>
      <c r="L33" s="372">
        <v>0.625</v>
      </c>
      <c r="M33" s="372">
        <v>0.54166666666666663</v>
      </c>
      <c r="N33" s="372">
        <v>8.3333333333333329E-2</v>
      </c>
      <c r="O33" s="372">
        <v>0.875</v>
      </c>
      <c r="P33" s="375" t="s">
        <v>325</v>
      </c>
      <c r="Q33" s="375"/>
      <c r="R33" s="376"/>
      <c r="S33" s="370">
        <f>VLOOKUP(Table2[[#This Row],[Course Title]],'TSD-Data'!$A$1:$E$70,4,FALSE)</f>
        <v>100</v>
      </c>
      <c r="T33" s="377">
        <f>VLOOKUP(Table2[[#This Row],[Course Title]],'TSD-Data'!$A$1:$F$70,6,FALSE)</f>
        <v>3.5</v>
      </c>
      <c r="U33" s="378">
        <f>VLOOKUP(Table2[[#This Row],[Course Title]],'TSD-Data'!$A$1:$F$70,5,FALSE)</f>
        <v>0.4</v>
      </c>
      <c r="V33" s="379">
        <v>0</v>
      </c>
      <c r="W33" s="377"/>
      <c r="X33" s="377"/>
      <c r="Y33" s="378"/>
      <c r="Z33" s="378"/>
      <c r="AA33" s="370"/>
      <c r="AB33" s="370"/>
      <c r="AC33" s="370"/>
      <c r="AD33" s="370"/>
      <c r="AE33" s="378">
        <f ca="1">Table2[[#This Row],[End Date]]+2-TODAY()</f>
        <v>135</v>
      </c>
      <c r="AF33" s="370">
        <f>IF(ISBLANK(Table2[[#This Row],[Roster Received by]]),1,0)</f>
        <v>1</v>
      </c>
      <c r="AG33" s="377">
        <f ca="1">IF(Table2[[#This Row],[Start Date]]&gt;TODAY(),1,)</f>
        <v>1</v>
      </c>
      <c r="AH33" s="377">
        <f>IF(ISBLANK(Table2[[#This Row],[Primary Instructor]]),0,1)</f>
        <v>1</v>
      </c>
      <c r="AI33" s="377">
        <f>IF(ISBLANK(Table2[[#This Row],[Instructor 2]]),0,1)</f>
        <v>0</v>
      </c>
      <c r="AJ33" s="377">
        <f>Table2[[#This Row],[Course Length (Hours)]]/(SUM(Table2[[#This Row],[1]:[2]]))</f>
        <v>3.5</v>
      </c>
      <c r="AK33" s="370"/>
      <c r="AL33" s="377">
        <v>1</v>
      </c>
      <c r="AM33" s="403" t="str">
        <f>VLOOKUP(Table2[[#This Row],[Course Title]],'TSD-Data'!$A$1:$G$70,7,FALSE)</f>
        <v>N1</v>
      </c>
    </row>
    <row r="34" spans="1:39" s="380" customFormat="1" x14ac:dyDescent="0.25">
      <c r="A34" s="368"/>
      <c r="B34" s="383" t="s">
        <v>372</v>
      </c>
      <c r="C34" s="370" t="str">
        <f>VLOOKUP(Table2[[#This Row],[Course Title]],'TSD-Data'!$A$1:$E$70,2,FALSE)</f>
        <v>A-493-3004</v>
      </c>
      <c r="D34" s="370" t="str">
        <f>VLOOKUP(Table2[[#This Row],[Course Title]],'TSD-Data'!$A$1:$E$70,3,FALSE)</f>
        <v>31V6</v>
      </c>
      <c r="E34" s="369" t="s">
        <v>86</v>
      </c>
      <c r="F34" s="371">
        <v>45952</v>
      </c>
      <c r="G34" s="371">
        <v>45952</v>
      </c>
      <c r="H34" s="371" t="s">
        <v>752</v>
      </c>
      <c r="I34" s="372"/>
      <c r="J34" s="373">
        <v>0.54166666666666663</v>
      </c>
      <c r="K34" s="374">
        <v>0.41666666666666669</v>
      </c>
      <c r="L34" s="374">
        <v>0.83333333333333337</v>
      </c>
      <c r="M34" s="374">
        <v>0.79166666666666663</v>
      </c>
      <c r="N34" s="374">
        <v>0.29166666666666669</v>
      </c>
      <c r="O34" s="374">
        <v>8.3333333333333329E-2</v>
      </c>
      <c r="P34" s="375" t="s">
        <v>325</v>
      </c>
      <c r="Q34" s="375"/>
      <c r="R34" s="376"/>
      <c r="S34" s="370">
        <f>VLOOKUP(Table2[[#This Row],[Course Title]],'TSD-Data'!$A$1:$E$70,4,FALSE)</f>
        <v>100</v>
      </c>
      <c r="T34" s="377">
        <f>VLOOKUP(Table2[[#This Row],[Course Title]],'TSD-Data'!$A$1:$F$70,6,FALSE)</f>
        <v>1.5</v>
      </c>
      <c r="U34" s="378">
        <f>VLOOKUP(Table2[[#This Row],[Course Title]],'TSD-Data'!$A$1:$F$70,5,FALSE)</f>
        <v>0.2</v>
      </c>
      <c r="V34" s="379">
        <v>0</v>
      </c>
      <c r="W34" s="377"/>
      <c r="X34" s="377"/>
      <c r="Y34" s="378"/>
      <c r="Z34" s="378"/>
      <c r="AA34" s="370"/>
      <c r="AB34" s="370"/>
      <c r="AC34" s="370"/>
      <c r="AD34" s="370"/>
      <c r="AE34" s="378">
        <f ca="1">Table2[[#This Row],[End Date]]+2-TODAY()</f>
        <v>136</v>
      </c>
      <c r="AF34" s="370">
        <f>IF(ISBLANK(Table2[[#This Row],[Roster Received by]]),1,0)</f>
        <v>1</v>
      </c>
      <c r="AG34" s="377">
        <f ca="1">IF(Table2[[#This Row],[Start Date]]&gt;TODAY(),1,)</f>
        <v>1</v>
      </c>
      <c r="AH34" s="377">
        <f>IF(ISBLANK(Table2[[#This Row],[Primary Instructor]]),0,1)</f>
        <v>1</v>
      </c>
      <c r="AI34" s="377">
        <f>IF(ISBLANK(Table2[[#This Row],[Instructor 2]]),0,1)</f>
        <v>0</v>
      </c>
      <c r="AJ34" s="377">
        <f>Table2[[#This Row],[Course Length (Hours)]]/(SUM(Table2[[#This Row],[1]:[2]]))</f>
        <v>1.5</v>
      </c>
      <c r="AK34" s="370"/>
      <c r="AL34" s="377">
        <v>1</v>
      </c>
      <c r="AM34" s="403" t="str">
        <f>VLOOKUP(Table2[[#This Row],[Course Title]],'TSD-Data'!$A$1:$G$70,7,FALSE)</f>
        <v>N1</v>
      </c>
    </row>
    <row r="35" spans="1:39" s="380" customFormat="1" x14ac:dyDescent="0.25">
      <c r="A35" s="368"/>
      <c r="B35" s="383" t="s">
        <v>369</v>
      </c>
      <c r="C35" s="370" t="str">
        <f>VLOOKUP(Table2[[#This Row],[Course Title]],'TSD-Data'!$A$1:$E$70,2,FALSE)</f>
        <v>A-493-3003</v>
      </c>
      <c r="D35" s="370" t="str">
        <f>VLOOKUP(Table2[[#This Row],[Course Title]],'TSD-Data'!$A$1:$E$70,3,FALSE)</f>
        <v>31V5</v>
      </c>
      <c r="E35" s="369" t="s">
        <v>86</v>
      </c>
      <c r="F35" s="371">
        <v>45952</v>
      </c>
      <c r="G35" s="371">
        <v>45952</v>
      </c>
      <c r="H35" s="371" t="s">
        <v>752</v>
      </c>
      <c r="I35" s="372"/>
      <c r="J35" s="372">
        <v>0.4375</v>
      </c>
      <c r="K35" s="372">
        <v>0.3125</v>
      </c>
      <c r="L35" s="372">
        <v>0.72916666666666663</v>
      </c>
      <c r="M35" s="372">
        <v>0.6875</v>
      </c>
      <c r="N35" s="372">
        <v>0.1875</v>
      </c>
      <c r="O35" s="372">
        <v>0.97916666666666663</v>
      </c>
      <c r="P35" s="375" t="s">
        <v>325</v>
      </c>
      <c r="Q35" s="375"/>
      <c r="R35" s="376"/>
      <c r="S35" s="370">
        <f>VLOOKUP(Table2[[#This Row],[Course Title]],'TSD-Data'!$A$1:$E$70,4,FALSE)</f>
        <v>100</v>
      </c>
      <c r="T35" s="377">
        <f>VLOOKUP(Table2[[#This Row],[Course Title]],'TSD-Data'!$A$1:$F$70,6,FALSE)</f>
        <v>0.75</v>
      </c>
      <c r="U35" s="378">
        <f>VLOOKUP(Table2[[#This Row],[Course Title]],'TSD-Data'!$A$1:$F$70,5,FALSE)</f>
        <v>0.1</v>
      </c>
      <c r="V35" s="379">
        <v>0</v>
      </c>
      <c r="W35" s="377"/>
      <c r="X35" s="377"/>
      <c r="Y35" s="378"/>
      <c r="Z35" s="378"/>
      <c r="AA35" s="370"/>
      <c r="AB35" s="370"/>
      <c r="AC35" s="370"/>
      <c r="AD35" s="370"/>
      <c r="AE35" s="378">
        <f ca="1">Table2[[#This Row],[End Date]]+2-TODAY()</f>
        <v>136</v>
      </c>
      <c r="AF35" s="370">
        <f>IF(ISBLANK(Table2[[#This Row],[Roster Received by]]),1,0)</f>
        <v>1</v>
      </c>
      <c r="AG35" s="377">
        <f ca="1">IF(Table2[[#This Row],[Start Date]]&gt;TODAY(),1,)</f>
        <v>1</v>
      </c>
      <c r="AH35" s="377">
        <f>IF(ISBLANK(Table2[[#This Row],[Primary Instructor]]),0,1)</f>
        <v>1</v>
      </c>
      <c r="AI35" s="377">
        <f>IF(ISBLANK(Table2[[#This Row],[Instructor 2]]),0,1)</f>
        <v>0</v>
      </c>
      <c r="AJ35" s="377">
        <f>Table2[[#This Row],[Course Length (Hours)]]/(SUM(Table2[[#This Row],[1]:[2]]))</f>
        <v>0.75</v>
      </c>
      <c r="AK35" s="370"/>
      <c r="AL35" s="377">
        <v>1</v>
      </c>
      <c r="AM35" s="403" t="str">
        <f>VLOOKUP(Table2[[#This Row],[Course Title]],'TSD-Data'!$A$1:$G$70,7,FALSE)</f>
        <v>N1</v>
      </c>
    </row>
    <row r="36" spans="1:39" s="380" customFormat="1" x14ac:dyDescent="0.25">
      <c r="A36" s="368"/>
      <c r="B36" s="383" t="s">
        <v>361</v>
      </c>
      <c r="C36" s="370" t="str">
        <f>VLOOKUP(Table2[[#This Row],[Course Title]],'TSD-Data'!$A$1:$E$70,2,FALSE)</f>
        <v>A-493-3001</v>
      </c>
      <c r="D36" s="370" t="str">
        <f>VLOOKUP(Table2[[#This Row],[Course Title]],'TSD-Data'!$A$1:$E$70,3,FALSE)</f>
        <v>31V3</v>
      </c>
      <c r="E36" s="369" t="s">
        <v>86</v>
      </c>
      <c r="F36" s="371">
        <v>45952</v>
      </c>
      <c r="G36" s="371">
        <v>45952</v>
      </c>
      <c r="H36" s="371" t="s">
        <v>752</v>
      </c>
      <c r="I36" s="372"/>
      <c r="J36" s="439">
        <v>0.33333333333333331</v>
      </c>
      <c r="K36" s="440">
        <v>0.20833333333333334</v>
      </c>
      <c r="L36" s="440">
        <v>0.625</v>
      </c>
      <c r="M36" s="440">
        <v>0.54166666666666663</v>
      </c>
      <c r="N36" s="440">
        <v>8.3333333333333329E-2</v>
      </c>
      <c r="O36" s="440">
        <v>0.875</v>
      </c>
      <c r="P36" s="375" t="s">
        <v>325</v>
      </c>
      <c r="Q36" s="375"/>
      <c r="R36" s="376"/>
      <c r="S36" s="370">
        <f>VLOOKUP(Table2[[#This Row],[Course Title]],'TSD-Data'!$A$1:$E$70,4,FALSE)</f>
        <v>100</v>
      </c>
      <c r="T36" s="377">
        <f>VLOOKUP(Table2[[#This Row],[Course Title]],'TSD-Data'!$A$1:$F$70,6,FALSE)</f>
        <v>2</v>
      </c>
      <c r="U36" s="378">
        <f>VLOOKUP(Table2[[#This Row],[Course Title]],'TSD-Data'!$A$1:$F$70,5,FALSE)</f>
        <v>0.25</v>
      </c>
      <c r="V36" s="379">
        <v>0</v>
      </c>
      <c r="W36" s="377"/>
      <c r="X36" s="377"/>
      <c r="Y36" s="378"/>
      <c r="Z36" s="378"/>
      <c r="AA36" s="370"/>
      <c r="AB36" s="370"/>
      <c r="AC36" s="370"/>
      <c r="AD36" s="370"/>
      <c r="AE36" s="378">
        <f ca="1">Table2[[#This Row],[End Date]]+2-TODAY()</f>
        <v>136</v>
      </c>
      <c r="AF36" s="370">
        <f>IF(ISBLANK(Table2[[#This Row],[Roster Received by]]),1,0)</f>
        <v>1</v>
      </c>
      <c r="AG36" s="377">
        <f ca="1">IF(Table2[[#This Row],[Start Date]]&gt;TODAY(),1,)</f>
        <v>1</v>
      </c>
      <c r="AH36" s="377">
        <f>IF(ISBLANK(Table2[[#This Row],[Primary Instructor]]),0,1)</f>
        <v>1</v>
      </c>
      <c r="AI36" s="377">
        <f>IF(ISBLANK(Table2[[#This Row],[Instructor 2]]),0,1)</f>
        <v>0</v>
      </c>
      <c r="AJ36" s="377">
        <f>Table2[[#This Row],[Course Length (Hours)]]/(SUM(Table2[[#This Row],[1]:[2]]))</f>
        <v>2</v>
      </c>
      <c r="AK36" s="370"/>
      <c r="AL36" s="377">
        <v>1</v>
      </c>
      <c r="AM36" s="403" t="str">
        <f>VLOOKUP(Table2[[#This Row],[Course Title]],'TSD-Data'!$A$1:$G$70,7,FALSE)</f>
        <v>N1</v>
      </c>
    </row>
    <row r="37" spans="1:39" s="380" customFormat="1" x14ac:dyDescent="0.25">
      <c r="A37" s="368"/>
      <c r="B37" s="383" t="s">
        <v>375</v>
      </c>
      <c r="C37" s="370" t="str">
        <f>VLOOKUP(Table2[[#This Row],[Course Title]],'TSD-Data'!$A$1:$E$70,2,FALSE)</f>
        <v>A-493-3005</v>
      </c>
      <c r="D37" s="370" t="str">
        <f>VLOOKUP(Table2[[#This Row],[Course Title]],'TSD-Data'!$A$1:$E$70,3,FALSE)</f>
        <v>31V7</v>
      </c>
      <c r="E37" s="369" t="s">
        <v>86</v>
      </c>
      <c r="F37" s="371">
        <v>45954</v>
      </c>
      <c r="G37" s="371">
        <v>45954</v>
      </c>
      <c r="H37" s="371" t="s">
        <v>752</v>
      </c>
      <c r="I37" s="372"/>
      <c r="J37" s="381">
        <v>0.54166666666666663</v>
      </c>
      <c r="K37" s="372">
        <v>0.41666666666666669</v>
      </c>
      <c r="L37" s="372">
        <v>0.83333333333333337</v>
      </c>
      <c r="M37" s="372">
        <v>0.79166666666666663</v>
      </c>
      <c r="N37" s="372">
        <v>0.29166666666666669</v>
      </c>
      <c r="O37" s="372">
        <v>8.3333333333333329E-2</v>
      </c>
      <c r="P37" s="375" t="s">
        <v>325</v>
      </c>
      <c r="Q37" s="375"/>
      <c r="R37" s="376"/>
      <c r="S37" s="370">
        <f>VLOOKUP(Table2[[#This Row],[Course Title]],'TSD-Data'!$A$1:$E$70,4,FALSE)</f>
        <v>100</v>
      </c>
      <c r="T37" s="377">
        <f>VLOOKUP(Table2[[#This Row],[Course Title]],'TSD-Data'!$A$1:$F$70,6,FALSE)</f>
        <v>2</v>
      </c>
      <c r="U37" s="378">
        <f>VLOOKUP(Table2[[#This Row],[Course Title]],'TSD-Data'!$A$1:$F$70,5,FALSE)</f>
        <v>0.25</v>
      </c>
      <c r="V37" s="379">
        <v>0</v>
      </c>
      <c r="W37" s="377"/>
      <c r="X37" s="377"/>
      <c r="Y37" s="378"/>
      <c r="Z37" s="378"/>
      <c r="AA37" s="370"/>
      <c r="AB37" s="370"/>
      <c r="AC37" s="370"/>
      <c r="AD37" s="370"/>
      <c r="AE37" s="378">
        <f ca="1">Table2[[#This Row],[End Date]]+2-TODAY()</f>
        <v>138</v>
      </c>
      <c r="AF37" s="370">
        <f>IF(ISBLANK(Table2[[#This Row],[Roster Received by]]),1,0)</f>
        <v>1</v>
      </c>
      <c r="AG37" s="377">
        <f ca="1">IF(Table2[[#This Row],[Start Date]]&gt;TODAY(),1,)</f>
        <v>1</v>
      </c>
      <c r="AH37" s="377">
        <f>IF(ISBLANK(Table2[[#This Row],[Primary Instructor]]),0,1)</f>
        <v>1</v>
      </c>
      <c r="AI37" s="377">
        <f>IF(ISBLANK(Table2[[#This Row],[Instructor 2]]),0,1)</f>
        <v>0</v>
      </c>
      <c r="AJ37" s="377">
        <f>Table2[[#This Row],[Course Length (Hours)]]/(SUM(Table2[[#This Row],[1]:[2]]))</f>
        <v>2</v>
      </c>
      <c r="AK37" s="370"/>
      <c r="AL37" s="377">
        <v>1</v>
      </c>
      <c r="AM37" s="403" t="str">
        <f>VLOOKUP(Table2[[#This Row],[Course Title]],'TSD-Data'!$A$1:$G$70,7,FALSE)</f>
        <v>N1</v>
      </c>
    </row>
    <row r="38" spans="1:39" s="380" customFormat="1" x14ac:dyDescent="0.25">
      <c r="A38" s="368"/>
      <c r="B38" s="383" t="s">
        <v>384</v>
      </c>
      <c r="C38" s="370" t="str">
        <f>VLOOKUP(Table2[[#This Row],[Course Title]],'TSD-Data'!$A$1:$E$70,2,FALSE)</f>
        <v>A-493-3008</v>
      </c>
      <c r="D38" s="370" t="str">
        <f>VLOOKUP(Table2[[#This Row],[Course Title]],'TSD-Data'!$A$1:$E$70,3,FALSE)</f>
        <v>31VA</v>
      </c>
      <c r="E38" s="369" t="s">
        <v>86</v>
      </c>
      <c r="F38" s="371">
        <v>45954</v>
      </c>
      <c r="G38" s="371">
        <v>45954</v>
      </c>
      <c r="H38" s="371" t="s">
        <v>752</v>
      </c>
      <c r="I38" s="372"/>
      <c r="J38" s="381">
        <v>0.33333333333333331</v>
      </c>
      <c r="K38" s="397">
        <v>0.20833333333333334</v>
      </c>
      <c r="L38" s="372">
        <v>0.625</v>
      </c>
      <c r="M38" s="372">
        <v>0.54166666666666663</v>
      </c>
      <c r="N38" s="372">
        <v>8.3333333333333329E-2</v>
      </c>
      <c r="O38" s="372">
        <v>0.875</v>
      </c>
      <c r="P38" s="375" t="s">
        <v>325</v>
      </c>
      <c r="Q38" s="375"/>
      <c r="R38" s="376"/>
      <c r="S38" s="370">
        <f>VLOOKUP(Table2[[#This Row],[Course Title]],'TSD-Data'!$A$1:$E$70,4,FALSE)</f>
        <v>100</v>
      </c>
      <c r="T38" s="377">
        <f>VLOOKUP(Table2[[#This Row],[Course Title]],'TSD-Data'!$A$1:$F$70,6,FALSE)</f>
        <v>1</v>
      </c>
      <c r="U38" s="378">
        <f>VLOOKUP(Table2[[#This Row],[Course Title]],'TSD-Data'!$A$1:$F$70,5,FALSE)</f>
        <v>0.1</v>
      </c>
      <c r="V38" s="379">
        <v>0</v>
      </c>
      <c r="W38" s="377"/>
      <c r="X38" s="377"/>
      <c r="Y38" s="378"/>
      <c r="Z38" s="378"/>
      <c r="AA38" s="370"/>
      <c r="AB38" s="370"/>
      <c r="AC38" s="370"/>
      <c r="AD38" s="370"/>
      <c r="AE38" s="378">
        <f ca="1">Table2[[#This Row],[End Date]]+2-TODAY()</f>
        <v>138</v>
      </c>
      <c r="AF38" s="370">
        <f>IF(ISBLANK(Table2[[#This Row],[Roster Received by]]),1,0)</f>
        <v>1</v>
      </c>
      <c r="AG38" s="377">
        <f ca="1">IF(Table2[[#This Row],[Start Date]]&gt;TODAY(),1,)</f>
        <v>1</v>
      </c>
      <c r="AH38" s="377">
        <f>IF(ISBLANK(Table2[[#This Row],[Primary Instructor]]),0,1)</f>
        <v>1</v>
      </c>
      <c r="AI38" s="377">
        <f>IF(ISBLANK(Table2[[#This Row],[Instructor 2]]),0,1)</f>
        <v>0</v>
      </c>
      <c r="AJ38" s="377">
        <f>Table2[[#This Row],[Course Length (Hours)]]/(SUM(Table2[[#This Row],[1]:[2]]))</f>
        <v>1</v>
      </c>
      <c r="AK38" s="370"/>
      <c r="AL38" s="377">
        <v>1</v>
      </c>
      <c r="AM38" s="403" t="str">
        <f>VLOOKUP(Table2[[#This Row],[Course Title]],'TSD-Data'!$A$1:$G$70,7,FALSE)</f>
        <v>N1</v>
      </c>
    </row>
    <row r="39" spans="1:39" s="380" customFormat="1" x14ac:dyDescent="0.25">
      <c r="A39" s="368"/>
      <c r="B39" s="383" t="s">
        <v>388</v>
      </c>
      <c r="C39" s="370" t="str">
        <f>VLOOKUP(Table2[[#This Row],[Course Title]],'TSD-Data'!$A$1:$E$70,2,FALSE)</f>
        <v>A-493-3009</v>
      </c>
      <c r="D39" s="370" t="str">
        <f>VLOOKUP(Table2[[#This Row],[Course Title]],'TSD-Data'!$A$1:$E$70,3,FALSE)</f>
        <v>31VB</v>
      </c>
      <c r="E39" s="369" t="s">
        <v>86</v>
      </c>
      <c r="F39" s="371">
        <v>45954</v>
      </c>
      <c r="G39" s="371">
        <v>45954</v>
      </c>
      <c r="H39" s="371" t="s">
        <v>752</v>
      </c>
      <c r="I39" s="372"/>
      <c r="J39" s="372">
        <v>0.39583333333333331</v>
      </c>
      <c r="K39" s="372">
        <v>0.27083333333333331</v>
      </c>
      <c r="L39" s="372">
        <v>0.6875</v>
      </c>
      <c r="M39" s="372">
        <v>0.64583333333333337</v>
      </c>
      <c r="N39" s="372">
        <v>0.14583333333333334</v>
      </c>
      <c r="O39" s="372">
        <v>0.9375</v>
      </c>
      <c r="P39" s="375" t="s">
        <v>325</v>
      </c>
      <c r="Q39" s="375"/>
      <c r="R39" s="376"/>
      <c r="S39" s="370">
        <f>VLOOKUP(Table2[[#This Row],[Course Title]],'TSD-Data'!$A$1:$E$70,4,FALSE)</f>
        <v>100</v>
      </c>
      <c r="T39" s="377">
        <f>VLOOKUP(Table2[[#This Row],[Course Title]],'TSD-Data'!$A$1:$F$70,6,FALSE)</f>
        <v>1</v>
      </c>
      <c r="U39" s="378">
        <f>VLOOKUP(Table2[[#This Row],[Course Title]],'TSD-Data'!$A$1:$F$70,5,FALSE)</f>
        <v>0.1</v>
      </c>
      <c r="V39" s="379">
        <v>0</v>
      </c>
      <c r="W39" s="377"/>
      <c r="X39" s="377"/>
      <c r="Y39" s="378"/>
      <c r="Z39" s="378"/>
      <c r="AA39" s="370"/>
      <c r="AB39" s="370"/>
      <c r="AC39" s="370"/>
      <c r="AD39" s="370"/>
      <c r="AE39" s="378">
        <f ca="1">Table2[[#This Row],[End Date]]+2-TODAY()</f>
        <v>138</v>
      </c>
      <c r="AF39" s="370">
        <f>IF(ISBLANK(Table2[[#This Row],[Roster Received by]]),1,0)</f>
        <v>1</v>
      </c>
      <c r="AG39" s="377">
        <f ca="1">IF(Table2[[#This Row],[Start Date]]&gt;TODAY(),1,)</f>
        <v>1</v>
      </c>
      <c r="AH39" s="377">
        <f>IF(ISBLANK(Table2[[#This Row],[Primary Instructor]]),0,1)</f>
        <v>1</v>
      </c>
      <c r="AI39" s="377">
        <f>IF(ISBLANK(Table2[[#This Row],[Instructor 2]]),0,1)</f>
        <v>0</v>
      </c>
      <c r="AJ39" s="377">
        <f>Table2[[#This Row],[Course Length (Hours)]]/(SUM(Table2[[#This Row],[1]:[2]]))</f>
        <v>1</v>
      </c>
      <c r="AK39" s="370"/>
      <c r="AL39" s="377">
        <v>1</v>
      </c>
      <c r="AM39" s="403" t="str">
        <f>VLOOKUP(Table2[[#This Row],[Course Title]],'TSD-Data'!$A$1:$G$70,7,FALSE)</f>
        <v>N1</v>
      </c>
    </row>
    <row r="40" spans="1:39" s="380" customFormat="1" x14ac:dyDescent="0.25">
      <c r="A40" s="369"/>
      <c r="B40" s="385" t="s">
        <v>89</v>
      </c>
      <c r="C40" s="370" t="str">
        <f>VLOOKUP(Table2[[#This Row],[Course Title]],'TSD-Data'!$A$1:$E$70,2,FALSE)</f>
        <v>A-493-0014</v>
      </c>
      <c r="D40" s="370">
        <f>VLOOKUP(Table2[[#This Row],[Course Title]],'TSD-Data'!$A$1:$E$70,3,FALSE)</f>
        <v>3878</v>
      </c>
      <c r="E40" s="369" t="s">
        <v>170</v>
      </c>
      <c r="F40" s="391">
        <v>45957</v>
      </c>
      <c r="G40" s="391">
        <v>45959</v>
      </c>
      <c r="H40" s="371" t="s">
        <v>752</v>
      </c>
      <c r="I40" s="372">
        <v>0.33333333333333331</v>
      </c>
      <c r="J40" s="392"/>
      <c r="K40" s="437"/>
      <c r="L40" s="371"/>
      <c r="M40" s="371"/>
      <c r="N40" s="371"/>
      <c r="O40" s="371"/>
      <c r="P40" s="375" t="s">
        <v>293</v>
      </c>
      <c r="Q40" s="375" t="s">
        <v>297</v>
      </c>
      <c r="R40" s="375"/>
      <c r="S40" s="370">
        <f>VLOOKUP(Table2[[#This Row],[Course Title]],'TSD-Data'!$A$1:$E$70,4,FALSE)</f>
        <v>25</v>
      </c>
      <c r="T40" s="377">
        <f>VLOOKUP(Table2[[#This Row],[Course Title]],'TSD-Data'!$A$1:$F$70,6,FALSE)</f>
        <v>24</v>
      </c>
      <c r="U40" s="378">
        <f>VLOOKUP(Table2[[#This Row],[Course Title]],'TSD-Data'!$A$1:$F$70,5,FALSE)</f>
        <v>3</v>
      </c>
      <c r="V40" s="379">
        <v>149</v>
      </c>
      <c r="W40" s="377"/>
      <c r="X40" s="377"/>
      <c r="Y40" s="379"/>
      <c r="Z40" s="379"/>
      <c r="AA40" s="377"/>
      <c r="AB40" s="377"/>
      <c r="AC40" s="377"/>
      <c r="AD40" s="377"/>
      <c r="AE40" s="379">
        <f ca="1">Table2[[#This Row],[End Date]]+2-TODAY()</f>
        <v>143</v>
      </c>
      <c r="AF40" s="377">
        <f>IF(ISBLANK(Table2[[#This Row],[Roster Received by]]),1,0)</f>
        <v>1</v>
      </c>
      <c r="AG40" s="377">
        <f ca="1">IF(Table2[[#This Row],[Start Date]]&gt;TODAY(),1,)</f>
        <v>1</v>
      </c>
      <c r="AH40" s="377">
        <f>IF(ISBLANK(Table2[[#This Row],[Primary Instructor]]),0,1)</f>
        <v>1</v>
      </c>
      <c r="AI40" s="377">
        <f>IF(ISBLANK(Table2[[#This Row],[Instructor 2]]),0,1)</f>
        <v>1</v>
      </c>
      <c r="AJ40" s="377">
        <f>Table2[[#This Row],[Course Length (Hours)]]/(SUM(Table2[[#This Row],[1]:[2]]))</f>
        <v>12</v>
      </c>
      <c r="AK40" s="377"/>
      <c r="AL40" s="377">
        <v>1</v>
      </c>
      <c r="AM40" s="403" t="str">
        <f>VLOOKUP(Table2[[#This Row],[Course Title]],'TSD-Data'!$A$1:$G$70,7,FALSE)</f>
        <v>N3</v>
      </c>
    </row>
    <row r="41" spans="1:39" s="380" customFormat="1" x14ac:dyDescent="0.25">
      <c r="A41" s="368"/>
      <c r="B41" s="383" t="s">
        <v>37</v>
      </c>
      <c r="C41" s="370" t="str">
        <f>VLOOKUP(Table2[[#This Row],[Course Title]],'TSD-Data'!$A$1:$E$70,2,FALSE)</f>
        <v>A-493-0665</v>
      </c>
      <c r="D41" s="370" t="str">
        <f>VLOOKUP(Table2[[#This Row],[Course Title]],'TSD-Data'!$A$1:$E$70,3,FALSE)</f>
        <v>10KW</v>
      </c>
      <c r="E41" s="369" t="s">
        <v>86</v>
      </c>
      <c r="F41" s="371">
        <v>45957</v>
      </c>
      <c r="G41" s="371">
        <v>45959</v>
      </c>
      <c r="H41" s="371" t="s">
        <v>752</v>
      </c>
      <c r="I41" s="372"/>
      <c r="J41" s="439">
        <v>0.33333333333333331</v>
      </c>
      <c r="K41" s="397">
        <v>0.20833333333333334</v>
      </c>
      <c r="L41" s="440">
        <v>0.625</v>
      </c>
      <c r="M41" s="440">
        <v>0.54166666666666663</v>
      </c>
      <c r="N41" s="440">
        <v>8.3333333333333329E-2</v>
      </c>
      <c r="O41" s="440">
        <v>0.875</v>
      </c>
      <c r="P41" s="375" t="s">
        <v>248</v>
      </c>
      <c r="Q41" s="375"/>
      <c r="R41" s="376"/>
      <c r="S41" s="370">
        <f>VLOOKUP(Table2[[#This Row],[Course Title]],'TSD-Data'!$A$1:$E$70,4,FALSE)</f>
        <v>45</v>
      </c>
      <c r="T41" s="377">
        <f>VLOOKUP(Table2[[#This Row],[Course Title]],'TSD-Data'!$A$1:$F$70,6,FALSE)</f>
        <v>24</v>
      </c>
      <c r="U41" s="378">
        <f>VLOOKUP(Table2[[#This Row],[Course Title]],'TSD-Data'!$A$1:$F$70,5,FALSE)</f>
        <v>3</v>
      </c>
      <c r="V41" s="379">
        <v>140</v>
      </c>
      <c r="W41" s="377"/>
      <c r="X41" s="377"/>
      <c r="Y41" s="378"/>
      <c r="Z41" s="378"/>
      <c r="AA41" s="370"/>
      <c r="AB41" s="370"/>
      <c r="AC41" s="370"/>
      <c r="AD41" s="370"/>
      <c r="AE41" s="378">
        <f ca="1">Table2[[#This Row],[End Date]]+2-TODAY()</f>
        <v>143</v>
      </c>
      <c r="AF41" s="370">
        <f>IF(ISBLANK(Table2[[#This Row],[Roster Received by]]),1,0)</f>
        <v>1</v>
      </c>
      <c r="AG41" s="377">
        <f ca="1">IF(Table2[[#This Row],[Start Date]]&gt;TODAY(),1,)</f>
        <v>1</v>
      </c>
      <c r="AH41" s="377">
        <f>IF(ISBLANK(Table2[[#This Row],[Primary Instructor]]),0,1)</f>
        <v>1</v>
      </c>
      <c r="AI41" s="377">
        <f>IF(ISBLANK(Table2[[#This Row],[Instructor 2]]),0,1)</f>
        <v>0</v>
      </c>
      <c r="AJ41" s="377">
        <f>Table2[[#This Row],[Course Length (Hours)]]/(SUM(Table2[[#This Row],[1]:[2]]))</f>
        <v>24</v>
      </c>
      <c r="AK41" s="370"/>
      <c r="AL41" s="377">
        <v>1</v>
      </c>
      <c r="AM41" s="403" t="str">
        <f>VLOOKUP(Table2[[#This Row],[Course Title]],'TSD-Data'!$A$1:$G$70,7,FALSE)</f>
        <v>N5</v>
      </c>
    </row>
    <row r="42" spans="1:39" s="380" customFormat="1" x14ac:dyDescent="0.25">
      <c r="A42" s="368"/>
      <c r="B42" s="432" t="s">
        <v>55</v>
      </c>
      <c r="C42" s="370" t="str">
        <f>VLOOKUP(Table2[[#This Row],[Course Title]],'TSD-Data'!$A$1:$E$70,2,FALSE)</f>
        <v>A-493-0103</v>
      </c>
      <c r="D42" s="370" t="str">
        <f>VLOOKUP(Table2[[#This Row],[Course Title]],'TSD-Data'!$A$1:$E$70,3,FALSE)</f>
        <v>12JY</v>
      </c>
      <c r="E42" s="369" t="s">
        <v>169</v>
      </c>
      <c r="F42" s="437">
        <v>45957</v>
      </c>
      <c r="G42" s="437">
        <v>45961</v>
      </c>
      <c r="H42" s="371" t="s">
        <v>752</v>
      </c>
      <c r="I42" s="372">
        <v>0.33333333333333331</v>
      </c>
      <c r="J42" s="372"/>
      <c r="K42" s="371"/>
      <c r="L42" s="371"/>
      <c r="M42" s="371"/>
      <c r="N42" s="371"/>
      <c r="O42" s="371"/>
      <c r="P42" s="375" t="s">
        <v>289</v>
      </c>
      <c r="Q42" s="375"/>
      <c r="R42" s="376"/>
      <c r="S42" s="370">
        <f>VLOOKUP(Table2[[#This Row],[Course Title]],'TSD-Data'!$A$1:$E$70,4,FALSE)</f>
        <v>25</v>
      </c>
      <c r="T42" s="377">
        <f>VLOOKUP(Table2[[#This Row],[Course Title]],'TSD-Data'!$A$1:$F$70,6,FALSE)</f>
        <v>40</v>
      </c>
      <c r="U42" s="378">
        <f>VLOOKUP(Table2[[#This Row],[Course Title]],'TSD-Data'!$A$1:$F$70,5,FALSE)</f>
        <v>5</v>
      </c>
      <c r="V42" s="379">
        <v>512</v>
      </c>
      <c r="W42" s="377"/>
      <c r="X42" s="377"/>
      <c r="Y42" s="378"/>
      <c r="Z42" s="378"/>
      <c r="AA42" s="370"/>
      <c r="AB42" s="370"/>
      <c r="AC42" s="370"/>
      <c r="AD42" s="370"/>
      <c r="AE42" s="378">
        <f ca="1">Table2[[#This Row],[End Date]]+2-TODAY()</f>
        <v>145</v>
      </c>
      <c r="AF42" s="370">
        <f>IF(ISBLANK(Table2[[#This Row],[Roster Received by]]),1,0)</f>
        <v>1</v>
      </c>
      <c r="AG42" s="377">
        <f ca="1">IF(Table2[[#This Row],[Start Date]]&gt;TODAY(),1,)</f>
        <v>1</v>
      </c>
      <c r="AH42" s="377">
        <f>IF(ISBLANK(Table2[[#This Row],[Primary Instructor]]),0,1)</f>
        <v>1</v>
      </c>
      <c r="AI42" s="377">
        <f>IF(ISBLANK(Table2[[#This Row],[Instructor 2]]),0,1)</f>
        <v>0</v>
      </c>
      <c r="AJ42" s="377">
        <f>Table2[[#This Row],[Course Length (Hours)]]/(SUM(Table2[[#This Row],[1]:[2]]))</f>
        <v>40</v>
      </c>
      <c r="AK42" s="370"/>
      <c r="AL42" s="377">
        <v>1</v>
      </c>
      <c r="AM42" s="403" t="str">
        <f>VLOOKUP(Table2[[#This Row],[Course Title]],'TSD-Data'!$A$1:$G$70,7,FALSE)</f>
        <v>N5</v>
      </c>
    </row>
    <row r="43" spans="1:39" s="380" customFormat="1" x14ac:dyDescent="0.25">
      <c r="A43" s="368"/>
      <c r="B43" s="369" t="s">
        <v>38</v>
      </c>
      <c r="C43" s="370" t="str">
        <f>VLOOKUP(Table2[[#This Row],[Course Title]],'TSD-Data'!$A$1:$E$70,2,FALSE)</f>
        <v>A-493-0061</v>
      </c>
      <c r="D43" s="370" t="str">
        <f>VLOOKUP(Table2[[#This Row],[Course Title]],'TSD-Data'!$A$1:$E$70,3,FALSE)</f>
        <v>288E</v>
      </c>
      <c r="E43" s="369" t="s">
        <v>86</v>
      </c>
      <c r="F43" s="395">
        <v>45957</v>
      </c>
      <c r="G43" s="395">
        <v>45960</v>
      </c>
      <c r="H43" s="371" t="s">
        <v>752</v>
      </c>
      <c r="I43" s="372"/>
      <c r="J43" s="381">
        <v>0.5</v>
      </c>
      <c r="K43" s="439">
        <v>0.375</v>
      </c>
      <c r="L43" s="381">
        <v>0.79166666666666663</v>
      </c>
      <c r="M43" s="381">
        <v>0.75</v>
      </c>
      <c r="N43" s="381">
        <v>0.25</v>
      </c>
      <c r="O43" s="381">
        <v>4.1666666666666664E-2</v>
      </c>
      <c r="P43" s="375" t="s">
        <v>274</v>
      </c>
      <c r="Q43" s="375"/>
      <c r="R43" s="376"/>
      <c r="S43" s="370">
        <f>VLOOKUP(Table2[[#This Row],[Course Title]],'TSD-Data'!$A$1:$E$70,4,FALSE)</f>
        <v>45</v>
      </c>
      <c r="T43" s="377">
        <f>VLOOKUP(Table2[[#This Row],[Course Title]],'TSD-Data'!$A$1:$F$70,6,FALSE)</f>
        <v>30</v>
      </c>
      <c r="U43" s="378">
        <f>VLOOKUP(Table2[[#This Row],[Course Title]],'TSD-Data'!$A$1:$F$70,5,FALSE)</f>
        <v>4</v>
      </c>
      <c r="V43" s="379">
        <v>620</v>
      </c>
      <c r="W43" s="377"/>
      <c r="X43" s="377"/>
      <c r="Y43" s="378"/>
      <c r="Z43" s="378"/>
      <c r="AA43" s="370"/>
      <c r="AB43" s="370"/>
      <c r="AC43" s="370"/>
      <c r="AD43" s="370"/>
      <c r="AE43" s="378">
        <f ca="1">Table2[[#This Row],[End Date]]+2-TODAY()</f>
        <v>144</v>
      </c>
      <c r="AF43" s="370">
        <f>IF(ISBLANK(Table2[[#This Row],[Roster Received by]]),1,0)</f>
        <v>1</v>
      </c>
      <c r="AG43" s="377">
        <f ca="1">IF(Table2[[#This Row],[Start Date]]&gt;TODAY(),1,)</f>
        <v>1</v>
      </c>
      <c r="AH43" s="377">
        <f>IF(ISBLANK(Table2[[#This Row],[Primary Instructor]]),0,1)</f>
        <v>1</v>
      </c>
      <c r="AI43" s="377">
        <f>IF(ISBLANK(Table2[[#This Row],[Instructor 2]]),0,1)</f>
        <v>0</v>
      </c>
      <c r="AJ43" s="377">
        <f>Table2[[#This Row],[Course Length (Hours)]]/(SUM(Table2[[#This Row],[1]:[2]]))</f>
        <v>30</v>
      </c>
      <c r="AK43" s="370"/>
      <c r="AL43" s="377">
        <v>1</v>
      </c>
      <c r="AM43" s="403" t="str">
        <f>VLOOKUP(Table2[[#This Row],[Course Title]],'TSD-Data'!$A$1:$G$70,7,FALSE)</f>
        <v>N5</v>
      </c>
    </row>
    <row r="44" spans="1:39" s="380" customFormat="1" x14ac:dyDescent="0.25">
      <c r="A44" s="368"/>
      <c r="B44" s="369" t="s">
        <v>39</v>
      </c>
      <c r="C44" s="370" t="str">
        <f>VLOOKUP(Table2[[#This Row],[Course Title]],'TSD-Data'!$A$1:$E$70,2,FALSE)</f>
        <v>A-570-0100</v>
      </c>
      <c r="D44" s="370" t="str">
        <f>VLOOKUP(Table2[[#This Row],[Course Title]],'TSD-Data'!$A$1:$E$70,3,FALSE)</f>
        <v>18B7</v>
      </c>
      <c r="E44" s="369" t="s">
        <v>86</v>
      </c>
      <c r="F44" s="395">
        <v>45957</v>
      </c>
      <c r="G44" s="395">
        <v>45958</v>
      </c>
      <c r="H44" s="371" t="s">
        <v>752</v>
      </c>
      <c r="I44" s="372"/>
      <c r="J44" s="381">
        <v>0.33333333333333331</v>
      </c>
      <c r="K44" s="372">
        <v>0.20833333333333334</v>
      </c>
      <c r="L44" s="372">
        <v>0.625</v>
      </c>
      <c r="M44" s="372">
        <v>0.54166666666666663</v>
      </c>
      <c r="N44" s="372">
        <v>8.3333333333333329E-2</v>
      </c>
      <c r="O44" s="372">
        <v>0.875</v>
      </c>
      <c r="P44" s="375" t="s">
        <v>252</v>
      </c>
      <c r="Q44" s="375"/>
      <c r="R44" s="376"/>
      <c r="S44" s="370">
        <f>VLOOKUP(Table2[[#This Row],[Course Title]],'TSD-Data'!$A$1:$E$70,4,FALSE)</f>
        <v>45</v>
      </c>
      <c r="T44" s="377">
        <f>VLOOKUP(Table2[[#This Row],[Course Title]],'TSD-Data'!$A$1:$F$70,6,FALSE)</f>
        <v>16</v>
      </c>
      <c r="U44" s="378">
        <f>VLOOKUP(Table2[[#This Row],[Course Title]],'TSD-Data'!$A$1:$F$70,5,FALSE)</f>
        <v>2</v>
      </c>
      <c r="V44" s="379">
        <v>326</v>
      </c>
      <c r="W44" s="377"/>
      <c r="X44" s="377"/>
      <c r="Y44" s="378"/>
      <c r="Z44" s="378"/>
      <c r="AA44" s="370"/>
      <c r="AB44" s="370"/>
      <c r="AC44" s="370"/>
      <c r="AD44" s="370"/>
      <c r="AE44" s="378">
        <f ca="1">Table2[[#This Row],[End Date]]+2-TODAY()</f>
        <v>142</v>
      </c>
      <c r="AF44" s="370">
        <f>IF(ISBLANK(Table2[[#This Row],[Roster Received by]]),1,0)</f>
        <v>1</v>
      </c>
      <c r="AG44" s="377">
        <f ca="1">IF(Table2[[#This Row],[Start Date]]&gt;TODAY(),1,)</f>
        <v>1</v>
      </c>
      <c r="AH44" s="377">
        <f>IF(ISBLANK(Table2[[#This Row],[Primary Instructor]]),0,1)</f>
        <v>1</v>
      </c>
      <c r="AI44" s="377">
        <f>IF(ISBLANK(Table2[[#This Row],[Instructor 2]]),0,1)</f>
        <v>0</v>
      </c>
      <c r="AJ44" s="377">
        <f>Table2[[#This Row],[Course Length (Hours)]]/(SUM(Table2[[#This Row],[1]:[2]]))</f>
        <v>16</v>
      </c>
      <c r="AK44" s="370"/>
      <c r="AL44" s="377">
        <v>1</v>
      </c>
      <c r="AM44" s="403" t="str">
        <f>VLOOKUP(Table2[[#This Row],[Course Title]],'TSD-Data'!$A$1:$G$70,7,FALSE)</f>
        <v>N5</v>
      </c>
    </row>
    <row r="45" spans="1:39" s="380" customFormat="1" x14ac:dyDescent="0.25">
      <c r="A45" s="368" t="s">
        <v>567</v>
      </c>
      <c r="B45" s="369" t="s">
        <v>53</v>
      </c>
      <c r="C45" s="370" t="str">
        <f>VLOOKUP(Table2[[#This Row],[Course Title]],'TSD-Data'!$A$1:$E$70,2,FALSE)</f>
        <v>A-493-0072</v>
      </c>
      <c r="D45" s="370" t="str">
        <f>VLOOKUP(Table2[[#This Row],[Course Title]],'TSD-Data'!$A$1:$E$70,3,FALSE)</f>
        <v>713U</v>
      </c>
      <c r="E45" s="369" t="s">
        <v>184</v>
      </c>
      <c r="F45" s="395">
        <v>45957</v>
      </c>
      <c r="G45" s="395">
        <v>45961</v>
      </c>
      <c r="H45" s="371" t="s">
        <v>752</v>
      </c>
      <c r="I45" s="372">
        <v>0.33333333333333331</v>
      </c>
      <c r="J45" s="372"/>
      <c r="K45" s="371"/>
      <c r="L45" s="371"/>
      <c r="M45" s="371"/>
      <c r="N45" s="371"/>
      <c r="O45" s="371"/>
      <c r="P45" s="375" t="s">
        <v>299</v>
      </c>
      <c r="Q45" s="375"/>
      <c r="R45" s="376"/>
      <c r="S45" s="370">
        <f>VLOOKUP(Table2[[#This Row],[Course Title]],'TSD-Data'!$A$1:$E$70,4,FALSE)</f>
        <v>30</v>
      </c>
      <c r="T45" s="377">
        <f>VLOOKUP(Table2[[#This Row],[Course Title]],'TSD-Data'!$A$1:$F$70,6,FALSE)</f>
        <v>40</v>
      </c>
      <c r="U45" s="378">
        <f>VLOOKUP(Table2[[#This Row],[Course Title]],'TSD-Data'!$A$1:$F$70,5,FALSE)</f>
        <v>5</v>
      </c>
      <c r="V45" s="379">
        <v>178</v>
      </c>
      <c r="W45" s="377"/>
      <c r="X45" s="377"/>
      <c r="Y45" s="378"/>
      <c r="Z45" s="378"/>
      <c r="AA45" s="370"/>
      <c r="AB45" s="370"/>
      <c r="AC45" s="370"/>
      <c r="AD45" s="370"/>
      <c r="AE45" s="378">
        <f ca="1">Table2[[#This Row],[End Date]]+2-TODAY()</f>
        <v>145</v>
      </c>
      <c r="AF45" s="370">
        <f>IF(ISBLANK(Table2[[#This Row],[Roster Received by]]),1,0)</f>
        <v>1</v>
      </c>
      <c r="AG45" s="377">
        <f ca="1">IF(Table2[[#This Row],[Start Date]]&gt;TODAY(),1,)</f>
        <v>1</v>
      </c>
      <c r="AH45" s="377">
        <f>IF(ISBLANK(Table2[[#This Row],[Primary Instructor]]),0,1)</f>
        <v>1</v>
      </c>
      <c r="AI45" s="377">
        <f>IF(ISBLANK(Table2[[#This Row],[Instructor 2]]),0,1)</f>
        <v>0</v>
      </c>
      <c r="AJ45" s="377">
        <f>Table2[[#This Row],[Course Length (Hours)]]/(SUM(Table2[[#This Row],[1]:[2]]))</f>
        <v>40</v>
      </c>
      <c r="AK45" s="370"/>
      <c r="AL45" s="377">
        <v>1</v>
      </c>
      <c r="AM45" s="403" t="str">
        <f>VLOOKUP(Table2[[#This Row],[Course Title]],'TSD-Data'!$A$1:$G$70,7,FALSE)</f>
        <v>N3</v>
      </c>
    </row>
    <row r="46" spans="1:39" s="380" customFormat="1" x14ac:dyDescent="0.25">
      <c r="A46" s="369"/>
      <c r="B46" s="435" t="s">
        <v>50</v>
      </c>
      <c r="C46" s="370" t="str">
        <f>VLOOKUP(Table2[[#This Row],[Course Title]],'TSD-Data'!$A$1:$E$70,2,FALSE)</f>
        <v>A-493-0331</v>
      </c>
      <c r="D46" s="370" t="str">
        <f>VLOOKUP(Table2[[#This Row],[Course Title]],'TSD-Data'!$A$1:$E$70,3,FALSE)</f>
        <v>10UG</v>
      </c>
      <c r="E46" s="369" t="s">
        <v>86</v>
      </c>
      <c r="F46" s="395">
        <v>45958</v>
      </c>
      <c r="G46" s="395">
        <v>45960</v>
      </c>
      <c r="H46" s="371" t="s">
        <v>752</v>
      </c>
      <c r="I46" s="372"/>
      <c r="J46" s="381">
        <v>1900.7916666666667</v>
      </c>
      <c r="K46" s="394">
        <v>0.66666666666666663</v>
      </c>
      <c r="L46" s="381">
        <v>8.3333333333333329E-2</v>
      </c>
      <c r="M46" s="381">
        <v>0</v>
      </c>
      <c r="N46" s="381">
        <v>0.54166666666666663</v>
      </c>
      <c r="O46" s="381">
        <v>0.33333333333333331</v>
      </c>
      <c r="P46" s="375" t="s">
        <v>233</v>
      </c>
      <c r="Q46" s="375"/>
      <c r="R46" s="375"/>
      <c r="S46" s="370">
        <f>VLOOKUP(Table2[[#This Row],[Course Title]],'TSD-Data'!$A$1:$E$70,4,FALSE)</f>
        <v>45</v>
      </c>
      <c r="T46" s="377">
        <f>VLOOKUP(Table2[[#This Row],[Course Title]],'TSD-Data'!$A$1:$F$70,6,FALSE)</f>
        <v>24</v>
      </c>
      <c r="U46" s="378">
        <f>VLOOKUP(Table2[[#This Row],[Course Title]],'TSD-Data'!$A$1:$F$70,5,FALSE)</f>
        <v>3</v>
      </c>
      <c r="V46" s="379">
        <v>183</v>
      </c>
      <c r="W46" s="377"/>
      <c r="X46" s="377"/>
      <c r="Y46" s="379"/>
      <c r="Z46" s="379"/>
      <c r="AA46" s="377"/>
      <c r="AB46" s="377"/>
      <c r="AC46" s="377"/>
      <c r="AD46" s="377"/>
      <c r="AE46" s="379">
        <f ca="1">Table2[[#This Row],[End Date]]+2-TODAY()</f>
        <v>144</v>
      </c>
      <c r="AF46" s="377">
        <f>IF(ISBLANK(Table2[[#This Row],[Roster Received by]]),1,0)</f>
        <v>1</v>
      </c>
      <c r="AG46" s="377">
        <f ca="1">IF(Table2[[#This Row],[Start Date]]&gt;TODAY(),1,)</f>
        <v>1</v>
      </c>
      <c r="AH46" s="377">
        <f>IF(ISBLANK(Table2[[#This Row],[Primary Instructor]]),0,1)</f>
        <v>1</v>
      </c>
      <c r="AI46" s="377">
        <f>IF(ISBLANK(Table2[[#This Row],[Instructor 2]]),0,1)</f>
        <v>0</v>
      </c>
      <c r="AJ46" s="377">
        <f>Table2[[#This Row],[Course Length (Hours)]]/(SUM(Table2[[#This Row],[1]:[2]]))</f>
        <v>24</v>
      </c>
      <c r="AK46" s="377"/>
      <c r="AL46" s="377">
        <v>1</v>
      </c>
      <c r="AM46" s="403" t="str">
        <f>VLOOKUP(Table2[[#This Row],[Course Title]],'TSD-Data'!$A$1:$G$70,7,FALSE)</f>
        <v>N3</v>
      </c>
    </row>
    <row r="47" spans="1:39" s="380" customFormat="1" x14ac:dyDescent="0.25">
      <c r="A47" s="368"/>
      <c r="B47" s="435" t="s">
        <v>93</v>
      </c>
      <c r="C47" s="370" t="str">
        <f>VLOOKUP(Table2[[#This Row],[Course Title]],'TSD-Data'!$A$1:$E$70,2,FALSE)</f>
        <v>A-493-0019</v>
      </c>
      <c r="D47" s="370">
        <f>VLOOKUP(Table2[[#This Row],[Course Title]],'TSD-Data'!$A$1:$E$70,3,FALSE)</f>
        <v>3882</v>
      </c>
      <c r="E47" s="432" t="s">
        <v>170</v>
      </c>
      <c r="F47" s="486">
        <v>45960</v>
      </c>
      <c r="G47" s="486">
        <v>45961</v>
      </c>
      <c r="H47" s="371" t="s">
        <v>752</v>
      </c>
      <c r="I47" s="372">
        <v>0.33333333333333331</v>
      </c>
      <c r="J47" s="372"/>
      <c r="K47" s="371"/>
      <c r="L47" s="371"/>
      <c r="M47" s="371"/>
      <c r="N47" s="371"/>
      <c r="O47" s="371"/>
      <c r="P47" s="375" t="s">
        <v>293</v>
      </c>
      <c r="Q47" s="375" t="s">
        <v>297</v>
      </c>
      <c r="R47" s="376"/>
      <c r="S47" s="370">
        <f>VLOOKUP(Table2[[#This Row],[Course Title]],'TSD-Data'!$A$1:$E$70,4,FALSE)</f>
        <v>25</v>
      </c>
      <c r="T47" s="377">
        <f>VLOOKUP(Table2[[#This Row],[Course Title]],'TSD-Data'!$A$1:$F$70,6,FALSE)</f>
        <v>16</v>
      </c>
      <c r="U47" s="378">
        <f>VLOOKUP(Table2[[#This Row],[Course Title]],'TSD-Data'!$A$1:$F$70,5,FALSE)</f>
        <v>2</v>
      </c>
      <c r="V47" s="379">
        <v>14</v>
      </c>
      <c r="W47" s="377"/>
      <c r="X47" s="377"/>
      <c r="Y47" s="378"/>
      <c r="Z47" s="378"/>
      <c r="AA47" s="370"/>
      <c r="AB47" s="370"/>
      <c r="AC47" s="370"/>
      <c r="AD47" s="370"/>
      <c r="AE47" s="378">
        <f ca="1">Table2[[#This Row],[End Date]]+2-TODAY()</f>
        <v>145</v>
      </c>
      <c r="AF47" s="370">
        <f>IF(ISBLANK(Table2[[#This Row],[Roster Received by]]),1,0)</f>
        <v>1</v>
      </c>
      <c r="AG47" s="377">
        <f ca="1">IF(Table2[[#This Row],[Start Date]]&gt;TODAY(),1,)</f>
        <v>1</v>
      </c>
      <c r="AH47" s="377">
        <f>IF(ISBLANK(Table2[[#This Row],[Primary Instructor]]),0,1)</f>
        <v>1</v>
      </c>
      <c r="AI47" s="377">
        <f>IF(ISBLANK(Table2[[#This Row],[Instructor 2]]),0,1)</f>
        <v>1</v>
      </c>
      <c r="AJ47" s="377">
        <f>Table2[[#This Row],[Course Length (Hours)]]/(SUM(Table2[[#This Row],[1]:[2]]))</f>
        <v>8</v>
      </c>
      <c r="AK47" s="370"/>
      <c r="AL47" s="377">
        <v>1</v>
      </c>
      <c r="AM47" s="403" t="str">
        <f>VLOOKUP(Table2[[#This Row],[Course Title]],'TSD-Data'!$A$1:$G$70,7,FALSE)</f>
        <v>N3</v>
      </c>
    </row>
    <row r="48" spans="1:39" s="380" customFormat="1" x14ac:dyDescent="0.25">
      <c r="A48" s="368"/>
      <c r="B48" s="396" t="s">
        <v>120</v>
      </c>
      <c r="C48" s="370" t="str">
        <f>VLOOKUP(Table2[[#This Row],[Course Title]],'TSD-Data'!$A$1:$E$70,2,FALSE)</f>
        <v>A-322-2604</v>
      </c>
      <c r="D48" s="370" t="str">
        <f>VLOOKUP(Table2[[#This Row],[Course Title]],'TSD-Data'!$A$1:$E$70,3,FALSE)</f>
        <v>10ZZ</v>
      </c>
      <c r="E48" s="369" t="s">
        <v>86</v>
      </c>
      <c r="F48" s="395">
        <v>45964</v>
      </c>
      <c r="G48" s="437">
        <v>45966</v>
      </c>
      <c r="H48" s="371" t="s">
        <v>752</v>
      </c>
      <c r="I48" s="372"/>
      <c r="J48" s="381">
        <v>0.5</v>
      </c>
      <c r="K48" s="394">
        <v>0.375</v>
      </c>
      <c r="L48" s="381">
        <v>0.83333333333333337</v>
      </c>
      <c r="M48" s="381">
        <v>0.75</v>
      </c>
      <c r="N48" s="381">
        <v>0.29166666666666669</v>
      </c>
      <c r="O48" s="381">
        <v>8.3333333333333329E-2</v>
      </c>
      <c r="P48" s="375" t="s">
        <v>252</v>
      </c>
      <c r="Q48" s="375"/>
      <c r="R48" s="376"/>
      <c r="S48" s="370">
        <f>VLOOKUP(Table2[[#This Row],[Course Title]],'TSD-Data'!$A$1:$E$70,4,FALSE)</f>
        <v>45</v>
      </c>
      <c r="T48" s="377">
        <f>VLOOKUP(Table2[[#This Row],[Course Title]],'TSD-Data'!$A$1:$F$70,6,FALSE)</f>
        <v>24</v>
      </c>
      <c r="U48" s="378">
        <f>VLOOKUP(Table2[[#This Row],[Course Title]],'TSD-Data'!$A$1:$F$70,5,FALSE)</f>
        <v>3</v>
      </c>
      <c r="V48" s="379">
        <v>621</v>
      </c>
      <c r="W48" s="377"/>
      <c r="X48" s="377"/>
      <c r="Y48" s="378"/>
      <c r="Z48" s="378"/>
      <c r="AA48" s="370"/>
      <c r="AB48" s="370"/>
      <c r="AC48" s="370"/>
      <c r="AD48" s="370"/>
      <c r="AE48" s="378">
        <f ca="1">Table2[[#This Row],[End Date]]+2-TODAY()</f>
        <v>150</v>
      </c>
      <c r="AF48" s="370">
        <f>IF(ISBLANK(Table2[[#This Row],[Roster Received by]]),1,0)</f>
        <v>1</v>
      </c>
      <c r="AG48" s="377">
        <f ca="1">IF(Table2[[#This Row],[Start Date]]&gt;TODAY(),1,)</f>
        <v>1</v>
      </c>
      <c r="AH48" s="377">
        <f>IF(ISBLANK(Table2[[#This Row],[Primary Instructor]]),0,1)</f>
        <v>1</v>
      </c>
      <c r="AI48" s="377">
        <f>IF(ISBLANK(Table2[[#This Row],[Instructor 2]]),0,1)</f>
        <v>0</v>
      </c>
      <c r="AJ48" s="377">
        <f>Table2[[#This Row],[Course Length (Hours)]]/(SUM(Table2[[#This Row],[1]:[2]]))</f>
        <v>24</v>
      </c>
      <c r="AK48" s="370"/>
      <c r="AL48" s="377">
        <v>1</v>
      </c>
      <c r="AM48" s="403" t="str">
        <f>VLOOKUP(Table2[[#This Row],[Course Title]],'TSD-Data'!$A$1:$G$70,7,FALSE)</f>
        <v>N3</v>
      </c>
    </row>
    <row r="49" spans="1:39" s="380" customFormat="1" x14ac:dyDescent="0.25">
      <c r="A49" s="368"/>
      <c r="B49" s="396" t="s">
        <v>51</v>
      </c>
      <c r="C49" s="370" t="str">
        <f>VLOOKUP(Table2[[#This Row],[Course Title]],'TSD-Data'!$A$1:$E$70,2,FALSE)</f>
        <v>A-493-0335</v>
      </c>
      <c r="D49" s="370" t="str">
        <f>VLOOKUP(Table2[[#This Row],[Course Title]],'TSD-Data'!$A$1:$E$70,3,FALSE)</f>
        <v>09ND</v>
      </c>
      <c r="E49" s="369" t="s">
        <v>86</v>
      </c>
      <c r="F49" s="395">
        <v>45964</v>
      </c>
      <c r="G49" s="395">
        <v>45967</v>
      </c>
      <c r="H49" s="371" t="s">
        <v>752</v>
      </c>
      <c r="I49" s="372"/>
      <c r="J49" s="381">
        <v>0.5</v>
      </c>
      <c r="K49" s="381">
        <v>0.375</v>
      </c>
      <c r="L49" s="381">
        <v>0.83333333333333337</v>
      </c>
      <c r="M49" s="381">
        <v>0.75</v>
      </c>
      <c r="N49" s="381">
        <v>0.29166666666666669</v>
      </c>
      <c r="O49" s="381">
        <v>8.3333333333333329E-2</v>
      </c>
      <c r="P49" s="375" t="s">
        <v>232</v>
      </c>
      <c r="Q49" s="375"/>
      <c r="R49" s="376"/>
      <c r="S49" s="370">
        <f>VLOOKUP(Table2[[#This Row],[Course Title]],'TSD-Data'!$A$1:$E$70,4,FALSE)</f>
        <v>45</v>
      </c>
      <c r="T49" s="377">
        <f>VLOOKUP(Table2[[#This Row],[Course Title]],'TSD-Data'!$A$1:$F$70,6,FALSE)</f>
        <v>32</v>
      </c>
      <c r="U49" s="378">
        <f>VLOOKUP(Table2[[#This Row],[Course Title]],'TSD-Data'!$A$1:$F$70,5,FALSE)</f>
        <v>4</v>
      </c>
      <c r="V49" s="379">
        <v>537</v>
      </c>
      <c r="W49" s="377"/>
      <c r="X49" s="377"/>
      <c r="Y49" s="378"/>
      <c r="Z49" s="378"/>
      <c r="AA49" s="370"/>
      <c r="AB49" s="370"/>
      <c r="AC49" s="370"/>
      <c r="AD49" s="370"/>
      <c r="AE49" s="378">
        <f ca="1">Table2[[#This Row],[End Date]]+2-TODAY()</f>
        <v>151</v>
      </c>
      <c r="AF49" s="370">
        <f>IF(ISBLANK(Table2[[#This Row],[Roster Received by]]),1,0)</f>
        <v>1</v>
      </c>
      <c r="AG49" s="377">
        <f ca="1">IF(Table2[[#This Row],[Start Date]]&gt;TODAY(),1,)</f>
        <v>1</v>
      </c>
      <c r="AH49" s="377">
        <f>IF(ISBLANK(Table2[[#This Row],[Primary Instructor]]),0,1)</f>
        <v>1</v>
      </c>
      <c r="AI49" s="377">
        <f>IF(ISBLANK(Table2[[#This Row],[Instructor 2]]),0,1)</f>
        <v>0</v>
      </c>
      <c r="AJ49" s="377">
        <f>Table2[[#This Row],[Course Length (Hours)]]/(SUM(Table2[[#This Row],[1]:[2]]))</f>
        <v>32</v>
      </c>
      <c r="AK49" s="370"/>
      <c r="AL49" s="377">
        <v>1</v>
      </c>
      <c r="AM49" s="403" t="str">
        <f>VLOOKUP(Table2[[#This Row],[Course Title]],'TSD-Data'!$A$1:$G$70,7,FALSE)</f>
        <v>N3</v>
      </c>
    </row>
    <row r="50" spans="1:39" s="380" customFormat="1" x14ac:dyDescent="0.25">
      <c r="A50" s="368"/>
      <c r="B50" s="396" t="s">
        <v>59</v>
      </c>
      <c r="C50" s="370" t="str">
        <f>VLOOKUP(Table2[[#This Row],[Course Title]],'TSD-Data'!$A$1:$E$70,2,FALSE)</f>
        <v>A-493-0550</v>
      </c>
      <c r="D50" s="370" t="str">
        <f>VLOOKUP(Table2[[#This Row],[Course Title]],'TSD-Data'!$A$1:$E$70,3,FALSE)</f>
        <v>09K5</v>
      </c>
      <c r="E50" s="369" t="s">
        <v>86</v>
      </c>
      <c r="F50" s="395">
        <v>45964</v>
      </c>
      <c r="G50" s="395">
        <v>45967</v>
      </c>
      <c r="H50" s="371" t="s">
        <v>752</v>
      </c>
      <c r="I50" s="372"/>
      <c r="J50" s="372">
        <v>0.33333333333333331</v>
      </c>
      <c r="K50" s="440">
        <v>0.20833333333333334</v>
      </c>
      <c r="L50" s="388">
        <v>1600</v>
      </c>
      <c r="M50" s="388">
        <v>1400</v>
      </c>
      <c r="N50" s="372">
        <v>0.125</v>
      </c>
      <c r="O50" s="388">
        <v>2200</v>
      </c>
      <c r="P50" s="375" t="s">
        <v>272</v>
      </c>
      <c r="Q50" s="375"/>
      <c r="R50" s="376"/>
      <c r="S50" s="370">
        <f>VLOOKUP(Table2[[#This Row],[Course Title]],'TSD-Data'!$A$1:$E$70,4,FALSE)</f>
        <v>45</v>
      </c>
      <c r="T50" s="377">
        <f>VLOOKUP(Table2[[#This Row],[Course Title]],'TSD-Data'!$A$1:$F$70,6,FALSE)</f>
        <v>32</v>
      </c>
      <c r="U50" s="378">
        <f>VLOOKUP(Table2[[#This Row],[Course Title]],'TSD-Data'!$A$1:$F$70,5,FALSE)</f>
        <v>4</v>
      </c>
      <c r="V50" s="379">
        <v>455</v>
      </c>
      <c r="W50" s="377"/>
      <c r="X50" s="377"/>
      <c r="Y50" s="378"/>
      <c r="Z50" s="378"/>
      <c r="AA50" s="370"/>
      <c r="AB50" s="370"/>
      <c r="AC50" s="370"/>
      <c r="AD50" s="370"/>
      <c r="AE50" s="378">
        <f ca="1">Table2[[#This Row],[End Date]]+2-TODAY()</f>
        <v>151</v>
      </c>
      <c r="AF50" s="370">
        <f>IF(ISBLANK(Table2[[#This Row],[Roster Received by]]),1,0)</f>
        <v>1</v>
      </c>
      <c r="AG50" s="377">
        <f ca="1">IF(Table2[[#This Row],[Start Date]]&gt;TODAY(),1,)</f>
        <v>1</v>
      </c>
      <c r="AH50" s="377">
        <f>IF(ISBLANK(Table2[[#This Row],[Primary Instructor]]),0,1)</f>
        <v>1</v>
      </c>
      <c r="AI50" s="377">
        <f>IF(ISBLANK(Table2[[#This Row],[Instructor 2]]),0,1)</f>
        <v>0</v>
      </c>
      <c r="AJ50" s="377">
        <f>Table2[[#This Row],[Course Length (Hours)]]/(SUM(Table2[[#This Row],[1]:[2]]))</f>
        <v>32</v>
      </c>
      <c r="AK50" s="370"/>
      <c r="AL50" s="377">
        <v>1</v>
      </c>
      <c r="AM50" s="403" t="str">
        <f>VLOOKUP(Table2[[#This Row],[Course Title]],'TSD-Data'!$A$1:$G$70,7,FALSE)</f>
        <v>N5</v>
      </c>
    </row>
    <row r="51" spans="1:39" s="380" customFormat="1" x14ac:dyDescent="0.25">
      <c r="A51" s="368"/>
      <c r="B51" s="396" t="s">
        <v>61</v>
      </c>
      <c r="C51" s="370" t="str">
        <f>VLOOKUP(Table2[[#This Row],[Course Title]],'TSD-Data'!$A$1:$E$70,2,FALSE)</f>
        <v>A-493-0078</v>
      </c>
      <c r="D51" s="370">
        <f>VLOOKUP(Table2[[#This Row],[Course Title]],'TSD-Data'!$A$1:$E$70,3,FALSE)</f>
        <v>1228</v>
      </c>
      <c r="E51" s="369" t="s">
        <v>86</v>
      </c>
      <c r="F51" s="437">
        <v>45964</v>
      </c>
      <c r="G51" s="437">
        <v>45968</v>
      </c>
      <c r="H51" s="371" t="s">
        <v>752</v>
      </c>
      <c r="I51" s="372"/>
      <c r="J51" s="381">
        <v>0.5</v>
      </c>
      <c r="K51" s="381">
        <v>0.375</v>
      </c>
      <c r="L51" s="381">
        <v>0.83333333333333337</v>
      </c>
      <c r="M51" s="381">
        <v>0.75</v>
      </c>
      <c r="N51" s="381">
        <v>0.29166666666666669</v>
      </c>
      <c r="O51" s="381">
        <v>8.3333333333333329E-2</v>
      </c>
      <c r="P51" s="375" t="s">
        <v>256</v>
      </c>
      <c r="Q51" s="375"/>
      <c r="R51" s="376"/>
      <c r="S51" s="370">
        <f>VLOOKUP(Table2[[#This Row],[Course Title]],'TSD-Data'!$A$1:$E$70,4,FALSE)</f>
        <v>45</v>
      </c>
      <c r="T51" s="377">
        <f>VLOOKUP(Table2[[#This Row],[Course Title]],'TSD-Data'!$A$1:$F$70,6,FALSE)</f>
        <v>32</v>
      </c>
      <c r="U51" s="378">
        <f>VLOOKUP(Table2[[#This Row],[Course Title]],'TSD-Data'!$A$1:$F$70,5,FALSE)</f>
        <v>4</v>
      </c>
      <c r="V51" s="379">
        <v>568</v>
      </c>
      <c r="W51" s="377"/>
      <c r="X51" s="377"/>
      <c r="Y51" s="378"/>
      <c r="Z51" s="378"/>
      <c r="AA51" s="370"/>
      <c r="AB51" s="370"/>
      <c r="AC51" s="370"/>
      <c r="AD51" s="370"/>
      <c r="AE51" s="378">
        <f ca="1">Table2[[#This Row],[End Date]]+2-TODAY()</f>
        <v>152</v>
      </c>
      <c r="AF51" s="370">
        <f>IF(ISBLANK(Table2[[#This Row],[Roster Received by]]),1,0)</f>
        <v>1</v>
      </c>
      <c r="AG51" s="377">
        <f ca="1">IF(Table2[[#This Row],[Start Date]]&gt;TODAY(),1,)</f>
        <v>1</v>
      </c>
      <c r="AH51" s="377">
        <f>IF(ISBLANK(Table2[[#This Row],[Primary Instructor]]),0,1)</f>
        <v>1</v>
      </c>
      <c r="AI51" s="377">
        <f>IF(ISBLANK(Table2[[#This Row],[Instructor 2]]),0,1)</f>
        <v>0</v>
      </c>
      <c r="AJ51" s="377">
        <f>Table2[[#This Row],[Course Length (Hours)]]/(SUM(Table2[[#This Row],[1]:[2]]))</f>
        <v>32</v>
      </c>
      <c r="AK51" s="370"/>
      <c r="AL51" s="377">
        <v>1</v>
      </c>
      <c r="AM51" s="403" t="str">
        <f>VLOOKUP(Table2[[#This Row],[Course Title]],'TSD-Data'!$A$1:$G$70,7,FALSE)</f>
        <v>N5</v>
      </c>
    </row>
    <row r="52" spans="1:39" s="380" customFormat="1" x14ac:dyDescent="0.25">
      <c r="A52" s="368"/>
      <c r="B52" s="396" t="s">
        <v>365</v>
      </c>
      <c r="C52" s="370" t="str">
        <f>VLOOKUP(Table2[[#This Row],[Course Title]],'TSD-Data'!$A$1:$E$70,2,FALSE)</f>
        <v>A-493-3002</v>
      </c>
      <c r="D52" s="370" t="str">
        <f>VLOOKUP(Table2[[#This Row],[Course Title]],'TSD-Data'!$A$1:$E$70,3,FALSE)</f>
        <v>31V4</v>
      </c>
      <c r="E52" s="369" t="s">
        <v>86</v>
      </c>
      <c r="F52" s="395">
        <v>45964</v>
      </c>
      <c r="G52" s="395">
        <v>45964</v>
      </c>
      <c r="H52" s="371" t="s">
        <v>752</v>
      </c>
      <c r="I52" s="372"/>
      <c r="J52" s="372">
        <v>0.45833333333333331</v>
      </c>
      <c r="K52" s="397">
        <v>0.33333333333333331</v>
      </c>
      <c r="L52" s="372">
        <v>0.79166666666666663</v>
      </c>
      <c r="M52" s="372">
        <v>0.70833333333333337</v>
      </c>
      <c r="N52" s="372">
        <v>0.25</v>
      </c>
      <c r="O52" s="372">
        <v>4.1666666666666664E-2</v>
      </c>
      <c r="P52" s="375" t="s">
        <v>325</v>
      </c>
      <c r="Q52" s="375"/>
      <c r="R52" s="376"/>
      <c r="S52" s="370">
        <f>VLOOKUP(Table2[[#This Row],[Course Title]],'TSD-Data'!$A$1:$E$70,4,FALSE)</f>
        <v>100</v>
      </c>
      <c r="T52" s="377">
        <f>VLOOKUP(Table2[[#This Row],[Course Title]],'TSD-Data'!$A$1:$F$70,6,FALSE)</f>
        <v>8</v>
      </c>
      <c r="U52" s="378">
        <f>VLOOKUP(Table2[[#This Row],[Course Title]],'TSD-Data'!$A$1:$F$70,5,FALSE)</f>
        <v>1</v>
      </c>
      <c r="V52" s="379">
        <v>0</v>
      </c>
      <c r="W52" s="377"/>
      <c r="X52" s="377"/>
      <c r="Y52" s="378"/>
      <c r="Z52" s="378"/>
      <c r="AA52" s="370"/>
      <c r="AB52" s="370"/>
      <c r="AC52" s="370"/>
      <c r="AD52" s="370"/>
      <c r="AE52" s="378">
        <f ca="1">Table2[[#This Row],[End Date]]+2-TODAY()</f>
        <v>148</v>
      </c>
      <c r="AF52" s="370">
        <f>IF(ISBLANK(Table2[[#This Row],[Roster Received by]]),1,0)</f>
        <v>1</v>
      </c>
      <c r="AG52" s="377">
        <f ca="1">IF(Table2[[#This Row],[Start Date]]&gt;TODAY(),1,)</f>
        <v>1</v>
      </c>
      <c r="AH52" s="377">
        <f>IF(ISBLANK(Table2[[#This Row],[Primary Instructor]]),0,1)</f>
        <v>1</v>
      </c>
      <c r="AI52" s="377">
        <f>IF(ISBLANK(Table2[[#This Row],[Instructor 2]]),0,1)</f>
        <v>0</v>
      </c>
      <c r="AJ52" s="377">
        <f>Table2[[#This Row],[Course Length (Hours)]]/(SUM(Table2[[#This Row],[1]:[2]]))</f>
        <v>8</v>
      </c>
      <c r="AK52" s="370"/>
      <c r="AL52" s="377">
        <v>1</v>
      </c>
      <c r="AM52" s="403" t="str">
        <f>VLOOKUP(Table2[[#This Row],[Course Title]],'TSD-Data'!$A$1:$G$70,7,FALSE)</f>
        <v>N1</v>
      </c>
    </row>
    <row r="53" spans="1:39" s="380" customFormat="1" x14ac:dyDescent="0.25">
      <c r="A53" s="368"/>
      <c r="B53" s="396" t="s">
        <v>40</v>
      </c>
      <c r="C53" s="370" t="str">
        <f>VLOOKUP(Table2[[#This Row],[Course Title]],'TSD-Data'!$A$1:$E$70,2,FALSE)</f>
        <v>A-493-2098</v>
      </c>
      <c r="D53" s="370" t="str">
        <f>VLOOKUP(Table2[[#This Row],[Course Title]],'TSD-Data'!$A$1:$E$70,3,FALSE)</f>
        <v>09WW</v>
      </c>
      <c r="E53" s="369" t="s">
        <v>86</v>
      </c>
      <c r="F53" s="371">
        <v>45964</v>
      </c>
      <c r="G53" s="371">
        <v>45966</v>
      </c>
      <c r="H53" s="371" t="s">
        <v>752</v>
      </c>
      <c r="I53" s="372"/>
      <c r="J53" s="381">
        <v>0.5</v>
      </c>
      <c r="K53" s="381">
        <v>0.375</v>
      </c>
      <c r="L53" s="381">
        <v>0.83333333333333337</v>
      </c>
      <c r="M53" s="381">
        <v>0.75</v>
      </c>
      <c r="N53" s="381">
        <v>0.29166666666666669</v>
      </c>
      <c r="O53" s="381">
        <v>8.3333333333333329E-2</v>
      </c>
      <c r="P53" s="375" t="s">
        <v>244</v>
      </c>
      <c r="Q53" s="375"/>
      <c r="R53" s="376"/>
      <c r="S53" s="370">
        <f>VLOOKUP(Table2[[#This Row],[Course Title]],'TSD-Data'!$A$1:$E$70,4,FALSE)</f>
        <v>100</v>
      </c>
      <c r="T53" s="377">
        <f>VLOOKUP(Table2[[#This Row],[Course Title]],'TSD-Data'!$A$1:$F$70,6,FALSE)</f>
        <v>16</v>
      </c>
      <c r="U53" s="378">
        <f>VLOOKUP(Table2[[#This Row],[Course Title]],'TSD-Data'!$A$1:$F$70,5,FALSE)</f>
        <v>3</v>
      </c>
      <c r="V53" s="379">
        <v>1882</v>
      </c>
      <c r="W53" s="377"/>
      <c r="X53" s="377"/>
      <c r="Y53" s="378"/>
      <c r="Z53" s="378"/>
      <c r="AA53" s="370"/>
      <c r="AB53" s="370"/>
      <c r="AC53" s="370"/>
      <c r="AD53" s="370"/>
      <c r="AE53" s="378">
        <f ca="1">Table2[[#This Row],[End Date]]+2-TODAY()</f>
        <v>150</v>
      </c>
      <c r="AF53" s="370">
        <f>IF(ISBLANK(Table2[[#This Row],[Roster Received by]]),1,0)</f>
        <v>1</v>
      </c>
      <c r="AG53" s="377">
        <f ca="1">IF(Table2[[#This Row],[Start Date]]&gt;TODAY(),1,)</f>
        <v>1</v>
      </c>
      <c r="AH53" s="377">
        <f>IF(ISBLANK(Table2[[#This Row],[Primary Instructor]]),0,1)</f>
        <v>1</v>
      </c>
      <c r="AI53" s="377">
        <f>IF(ISBLANK(Table2[[#This Row],[Instructor 2]]),0,1)</f>
        <v>0</v>
      </c>
      <c r="AJ53" s="377">
        <f>Table2[[#This Row],[Course Length (Hours)]]/(SUM(Table2[[#This Row],[1]:[2]]))</f>
        <v>16</v>
      </c>
      <c r="AK53" s="370"/>
      <c r="AL53" s="377">
        <v>1</v>
      </c>
      <c r="AM53" s="403" t="str">
        <f>VLOOKUP(Table2[[#This Row],[Course Title]],'TSD-Data'!$A$1:$G$70,7,FALSE)</f>
        <v>N1</v>
      </c>
    </row>
    <row r="54" spans="1:39" s="380" customFormat="1" x14ac:dyDescent="0.25">
      <c r="A54" s="368"/>
      <c r="B54" s="396" t="s">
        <v>54</v>
      </c>
      <c r="C54" s="370" t="str">
        <f>VLOOKUP(Table2[[#This Row],[Course Title]],'TSD-Data'!$A$1:$E$70,2,FALSE)</f>
        <v>F-4J-0023</v>
      </c>
      <c r="D54" s="370" t="str">
        <f>VLOOKUP(Table2[[#This Row],[Course Title]],'TSD-Data'!$A$1:$E$70,3,FALSE)</f>
        <v>11A2</v>
      </c>
      <c r="E54" s="369" t="s">
        <v>86</v>
      </c>
      <c r="F54" s="437">
        <v>45964</v>
      </c>
      <c r="G54" s="437">
        <v>45965</v>
      </c>
      <c r="H54" s="371" t="s">
        <v>752</v>
      </c>
      <c r="I54" s="372"/>
      <c r="J54" s="372">
        <v>0.33333333333333331</v>
      </c>
      <c r="K54" s="440">
        <v>0.20833333333333334</v>
      </c>
      <c r="L54" s="388">
        <v>1600</v>
      </c>
      <c r="M54" s="388">
        <v>1400</v>
      </c>
      <c r="N54" s="372">
        <v>0.125</v>
      </c>
      <c r="O54" s="388">
        <v>2200</v>
      </c>
      <c r="P54" s="375" t="s">
        <v>299</v>
      </c>
      <c r="Q54" s="375"/>
      <c r="R54" s="376"/>
      <c r="S54" s="370">
        <f>VLOOKUP(Table2[[#This Row],[Course Title]],'TSD-Data'!$A$1:$E$70,4,FALSE)</f>
        <v>45</v>
      </c>
      <c r="T54" s="377">
        <f>VLOOKUP(Table2[[#This Row],[Course Title]],'TSD-Data'!$A$1:$F$70,6,FALSE)</f>
        <v>16</v>
      </c>
      <c r="U54" s="378">
        <f>VLOOKUP(Table2[[#This Row],[Course Title]],'TSD-Data'!$A$1:$F$70,5,FALSE)</f>
        <v>2</v>
      </c>
      <c r="V54" s="379">
        <v>28</v>
      </c>
      <c r="W54" s="377"/>
      <c r="X54" s="377"/>
      <c r="Y54" s="378"/>
      <c r="Z54" s="378"/>
      <c r="AA54" s="370"/>
      <c r="AB54" s="370"/>
      <c r="AC54" s="370"/>
      <c r="AD54" s="370"/>
      <c r="AE54" s="378">
        <f ca="1">Table2[[#This Row],[End Date]]+2-TODAY()</f>
        <v>149</v>
      </c>
      <c r="AF54" s="370">
        <f>IF(ISBLANK(Table2[[#This Row],[Roster Received by]]),1,0)</f>
        <v>1</v>
      </c>
      <c r="AG54" s="377">
        <f ca="1">IF(Table2[[#This Row],[Start Date]]&gt;TODAY(),1,)</f>
        <v>1</v>
      </c>
      <c r="AH54" s="377">
        <f>IF(ISBLANK(Table2[[#This Row],[Primary Instructor]]),0,1)</f>
        <v>1</v>
      </c>
      <c r="AI54" s="377">
        <f>IF(ISBLANK(Table2[[#This Row],[Instructor 2]]),0,1)</f>
        <v>0</v>
      </c>
      <c r="AJ54" s="377">
        <f>Table2[[#This Row],[Course Length (Hours)]]/(SUM(Table2[[#This Row],[1]:[2]]))</f>
        <v>16</v>
      </c>
      <c r="AK54" s="370"/>
      <c r="AL54" s="377">
        <v>1</v>
      </c>
      <c r="AM54" s="403" t="str">
        <f>VLOOKUP(Table2[[#This Row],[Course Title]],'TSD-Data'!$A$1:$G$70,7,FALSE)</f>
        <v>N1</v>
      </c>
    </row>
    <row r="55" spans="1:39" s="380" customFormat="1" x14ac:dyDescent="0.25">
      <c r="A55" s="368"/>
      <c r="B55" s="396" t="s">
        <v>395</v>
      </c>
      <c r="C55" s="370" t="str">
        <f>VLOOKUP(Table2[[#This Row],[Course Title]],'TSD-Data'!$A$1:$E$70,2,FALSE)</f>
        <v>A-493-3011</v>
      </c>
      <c r="D55" s="370" t="str">
        <f>VLOOKUP(Table2[[#This Row],[Course Title]],'TSD-Data'!$A$1:$E$70,3,FALSE)</f>
        <v>31VD</v>
      </c>
      <c r="E55" s="369" t="s">
        <v>86</v>
      </c>
      <c r="F55" s="371">
        <v>45965</v>
      </c>
      <c r="G55" s="371">
        <v>45965</v>
      </c>
      <c r="H55" s="371" t="s">
        <v>752</v>
      </c>
      <c r="I55" s="372"/>
      <c r="J55" s="372">
        <v>0.66666666666666663</v>
      </c>
      <c r="K55" s="372">
        <v>0.54166666666666663</v>
      </c>
      <c r="L55" s="372">
        <v>0</v>
      </c>
      <c r="M55" s="372">
        <v>0.95833333333333337</v>
      </c>
      <c r="N55" s="372">
        <v>0.45833333333333331</v>
      </c>
      <c r="O55" s="372">
        <v>0.25</v>
      </c>
      <c r="P55" s="375" t="s">
        <v>325</v>
      </c>
      <c r="Q55" s="375"/>
      <c r="R55" s="376"/>
      <c r="S55" s="370">
        <f>VLOOKUP(Table2[[#This Row],[Course Title]],'TSD-Data'!$A$1:$E$70,4,FALSE)</f>
        <v>100</v>
      </c>
      <c r="T55" s="377">
        <f>VLOOKUP(Table2[[#This Row],[Course Title]],'TSD-Data'!$A$1:$F$70,6,FALSE)</f>
        <v>2.5</v>
      </c>
      <c r="U55" s="378">
        <f>VLOOKUP(Table2[[#This Row],[Course Title]],'TSD-Data'!$A$1:$F$70,5,FALSE)</f>
        <v>0.3</v>
      </c>
      <c r="V55" s="379">
        <v>0</v>
      </c>
      <c r="W55" s="377"/>
      <c r="X55" s="377"/>
      <c r="Y55" s="378"/>
      <c r="Z55" s="378"/>
      <c r="AA55" s="370"/>
      <c r="AB55" s="370"/>
      <c r="AC55" s="370"/>
      <c r="AD55" s="370"/>
      <c r="AE55" s="378">
        <f ca="1">Table2[[#This Row],[End Date]]+2-TODAY()</f>
        <v>149</v>
      </c>
      <c r="AF55" s="370">
        <f>IF(ISBLANK(Table2[[#This Row],[Roster Received by]]),1,0)</f>
        <v>1</v>
      </c>
      <c r="AG55" s="377">
        <f ca="1">IF(Table2[[#This Row],[Start Date]]&gt;TODAY(),1,)</f>
        <v>1</v>
      </c>
      <c r="AH55" s="377">
        <f>IF(ISBLANK(Table2[[#This Row],[Primary Instructor]]),0,1)</f>
        <v>1</v>
      </c>
      <c r="AI55" s="377">
        <f>IF(ISBLANK(Table2[[#This Row],[Instructor 2]]),0,1)</f>
        <v>0</v>
      </c>
      <c r="AJ55" s="377">
        <f>Table2[[#This Row],[Course Length (Hours)]]/(SUM(Table2[[#This Row],[1]:[2]]))</f>
        <v>2.5</v>
      </c>
      <c r="AK55" s="370"/>
      <c r="AL55" s="377">
        <v>1</v>
      </c>
      <c r="AM55" s="403" t="str">
        <f>VLOOKUP(Table2[[#This Row],[Course Title]],'TSD-Data'!$A$1:$G$70,7,FALSE)</f>
        <v>N1</v>
      </c>
    </row>
    <row r="56" spans="1:39" s="380" customFormat="1" x14ac:dyDescent="0.25">
      <c r="A56" s="368"/>
      <c r="B56" s="396" t="s">
        <v>391</v>
      </c>
      <c r="C56" s="370" t="str">
        <f>VLOOKUP(Table2[[#This Row],[Course Title]],'TSD-Data'!$A$1:$E$70,2,FALSE)</f>
        <v>A-493-3010</v>
      </c>
      <c r="D56" s="370" t="str">
        <f>VLOOKUP(Table2[[#This Row],[Course Title]],'TSD-Data'!$A$1:$E$70,3,FALSE)</f>
        <v>31VC</v>
      </c>
      <c r="E56" s="369" t="s">
        <v>86</v>
      </c>
      <c r="F56" s="371">
        <v>45965</v>
      </c>
      <c r="G56" s="371">
        <v>45965</v>
      </c>
      <c r="H56" s="371" t="s">
        <v>752</v>
      </c>
      <c r="I56" s="372"/>
      <c r="J56" s="372">
        <v>0.45833333333333331</v>
      </c>
      <c r="K56" s="372">
        <v>0.33333333333333331</v>
      </c>
      <c r="L56" s="372">
        <v>0.79166666666666663</v>
      </c>
      <c r="M56" s="372">
        <v>0.70833333333333337</v>
      </c>
      <c r="N56" s="372">
        <v>0.25</v>
      </c>
      <c r="O56" s="372">
        <v>4.1666666666666664E-2</v>
      </c>
      <c r="P56" s="375" t="s">
        <v>325</v>
      </c>
      <c r="Q56" s="375"/>
      <c r="R56" s="376"/>
      <c r="S56" s="370">
        <f>VLOOKUP(Table2[[#This Row],[Course Title]],'TSD-Data'!$A$1:$E$70,4,FALSE)</f>
        <v>100</v>
      </c>
      <c r="T56" s="377">
        <f>VLOOKUP(Table2[[#This Row],[Course Title]],'TSD-Data'!$A$1:$F$70,6,FALSE)</f>
        <v>3.5</v>
      </c>
      <c r="U56" s="378">
        <f>VLOOKUP(Table2[[#This Row],[Course Title]],'TSD-Data'!$A$1:$F$70,5,FALSE)</f>
        <v>0.4</v>
      </c>
      <c r="V56" s="379">
        <v>0</v>
      </c>
      <c r="W56" s="377"/>
      <c r="X56" s="377"/>
      <c r="Y56" s="378"/>
      <c r="Z56" s="378"/>
      <c r="AA56" s="370"/>
      <c r="AB56" s="370"/>
      <c r="AC56" s="370"/>
      <c r="AD56" s="370"/>
      <c r="AE56" s="378">
        <f ca="1">Table2[[#This Row],[End Date]]+2-TODAY()</f>
        <v>149</v>
      </c>
      <c r="AF56" s="370">
        <f>IF(ISBLANK(Table2[[#This Row],[Roster Received by]]),1,0)</f>
        <v>1</v>
      </c>
      <c r="AG56" s="377">
        <f ca="1">IF(Table2[[#This Row],[Start Date]]&gt;TODAY(),1,)</f>
        <v>1</v>
      </c>
      <c r="AH56" s="377">
        <f>IF(ISBLANK(Table2[[#This Row],[Primary Instructor]]),0,1)</f>
        <v>1</v>
      </c>
      <c r="AI56" s="377">
        <f>IF(ISBLANK(Table2[[#This Row],[Instructor 2]]),0,1)</f>
        <v>0</v>
      </c>
      <c r="AJ56" s="377">
        <f>Table2[[#This Row],[Course Length (Hours)]]/(SUM(Table2[[#This Row],[1]:[2]]))</f>
        <v>3.5</v>
      </c>
      <c r="AK56" s="370"/>
      <c r="AL56" s="377">
        <v>1</v>
      </c>
      <c r="AM56" s="403" t="str">
        <f>VLOOKUP(Table2[[#This Row],[Course Title]],'TSD-Data'!$A$1:$G$70,7,FALSE)</f>
        <v>N1</v>
      </c>
    </row>
    <row r="57" spans="1:39" s="380" customFormat="1" x14ac:dyDescent="0.25">
      <c r="A57" s="368"/>
      <c r="B57" s="396" t="s">
        <v>372</v>
      </c>
      <c r="C57" s="370" t="str">
        <f>VLOOKUP(Table2[[#This Row],[Course Title]],'TSD-Data'!$A$1:$E$70,2,FALSE)</f>
        <v>A-493-3004</v>
      </c>
      <c r="D57" s="370" t="str">
        <f>VLOOKUP(Table2[[#This Row],[Course Title]],'TSD-Data'!$A$1:$E$70,3,FALSE)</f>
        <v>31V6</v>
      </c>
      <c r="E57" s="369" t="s">
        <v>86</v>
      </c>
      <c r="F57" s="371">
        <v>45966</v>
      </c>
      <c r="G57" s="371">
        <v>45966</v>
      </c>
      <c r="H57" s="371" t="s">
        <v>752</v>
      </c>
      <c r="I57" s="372"/>
      <c r="J57" s="372">
        <v>0.66666666666666663</v>
      </c>
      <c r="K57" s="397">
        <v>0.54166666666666663</v>
      </c>
      <c r="L57" s="372">
        <v>0</v>
      </c>
      <c r="M57" s="372">
        <v>0.95833333333333337</v>
      </c>
      <c r="N57" s="372">
        <v>0.45833333333333331</v>
      </c>
      <c r="O57" s="372">
        <v>0.25</v>
      </c>
      <c r="P57" s="375" t="s">
        <v>325</v>
      </c>
      <c r="Q57" s="375"/>
      <c r="R57" s="376"/>
      <c r="S57" s="370">
        <f>VLOOKUP(Table2[[#This Row],[Course Title]],'TSD-Data'!$A$1:$E$70,4,FALSE)</f>
        <v>100</v>
      </c>
      <c r="T57" s="377">
        <f>VLOOKUP(Table2[[#This Row],[Course Title]],'TSD-Data'!$A$1:$F$70,6,FALSE)</f>
        <v>1.5</v>
      </c>
      <c r="U57" s="378">
        <f>VLOOKUP(Table2[[#This Row],[Course Title]],'TSD-Data'!$A$1:$F$70,5,FALSE)</f>
        <v>0.2</v>
      </c>
      <c r="V57" s="379">
        <v>0</v>
      </c>
      <c r="W57" s="377"/>
      <c r="X57" s="377"/>
      <c r="Y57" s="378"/>
      <c r="Z57" s="378"/>
      <c r="AA57" s="370"/>
      <c r="AB57" s="370"/>
      <c r="AC57" s="370"/>
      <c r="AD57" s="370"/>
      <c r="AE57" s="378">
        <f ca="1">Table2[[#This Row],[End Date]]+2-TODAY()</f>
        <v>150</v>
      </c>
      <c r="AF57" s="370">
        <f>IF(ISBLANK(Table2[[#This Row],[Roster Received by]]),1,0)</f>
        <v>1</v>
      </c>
      <c r="AG57" s="377">
        <f ca="1">IF(Table2[[#This Row],[Start Date]]&gt;TODAY(),1,)</f>
        <v>1</v>
      </c>
      <c r="AH57" s="377">
        <f>IF(ISBLANK(Table2[[#This Row],[Primary Instructor]]),0,1)</f>
        <v>1</v>
      </c>
      <c r="AI57" s="377">
        <f>IF(ISBLANK(Table2[[#This Row],[Instructor 2]]),0,1)</f>
        <v>0</v>
      </c>
      <c r="AJ57" s="377">
        <f>Table2[[#This Row],[Course Length (Hours)]]/(SUM(Table2[[#This Row],[1]:[2]]))</f>
        <v>1.5</v>
      </c>
      <c r="AK57" s="370"/>
      <c r="AL57" s="377">
        <v>1</v>
      </c>
      <c r="AM57" s="403" t="str">
        <f>VLOOKUP(Table2[[#This Row],[Course Title]],'TSD-Data'!$A$1:$G$70,7,FALSE)</f>
        <v>N1</v>
      </c>
    </row>
    <row r="58" spans="1:39" s="380" customFormat="1" x14ac:dyDescent="0.25">
      <c r="A58" s="368"/>
      <c r="B58" s="396" t="s">
        <v>369</v>
      </c>
      <c r="C58" s="370" t="str">
        <f>VLOOKUP(Table2[[#This Row],[Course Title]],'TSD-Data'!$A$1:$E$70,2,FALSE)</f>
        <v>A-493-3003</v>
      </c>
      <c r="D58" s="370" t="str">
        <f>VLOOKUP(Table2[[#This Row],[Course Title]],'TSD-Data'!$A$1:$E$70,3,FALSE)</f>
        <v>31V5</v>
      </c>
      <c r="E58" s="369" t="s">
        <v>86</v>
      </c>
      <c r="F58" s="371">
        <v>45966</v>
      </c>
      <c r="G58" s="371">
        <v>45966</v>
      </c>
      <c r="H58" s="371" t="s">
        <v>752</v>
      </c>
      <c r="I58" s="372"/>
      <c r="J58" s="372">
        <v>0.5625</v>
      </c>
      <c r="K58" s="372">
        <v>0.4375</v>
      </c>
      <c r="L58" s="372">
        <v>0.89583333333333337</v>
      </c>
      <c r="M58" s="372">
        <v>0.8125</v>
      </c>
      <c r="N58" s="372">
        <v>0.35416666666666669</v>
      </c>
      <c r="O58" s="372">
        <v>0.14583333333333334</v>
      </c>
      <c r="P58" s="375" t="s">
        <v>325</v>
      </c>
      <c r="Q58" s="375"/>
      <c r="R58" s="376"/>
      <c r="S58" s="370">
        <f>VLOOKUP(Table2[[#This Row],[Course Title]],'TSD-Data'!$A$1:$E$70,4,FALSE)</f>
        <v>100</v>
      </c>
      <c r="T58" s="377">
        <f>VLOOKUP(Table2[[#This Row],[Course Title]],'TSD-Data'!$A$1:$F$70,6,FALSE)</f>
        <v>0.75</v>
      </c>
      <c r="U58" s="378">
        <f>VLOOKUP(Table2[[#This Row],[Course Title]],'TSD-Data'!$A$1:$F$70,5,FALSE)</f>
        <v>0.1</v>
      </c>
      <c r="V58" s="379">
        <v>0</v>
      </c>
      <c r="W58" s="377"/>
      <c r="X58" s="377"/>
      <c r="Y58" s="378"/>
      <c r="Z58" s="378"/>
      <c r="AA58" s="370"/>
      <c r="AB58" s="370"/>
      <c r="AC58" s="370"/>
      <c r="AD58" s="370"/>
      <c r="AE58" s="378">
        <f ca="1">Table2[[#This Row],[End Date]]+2-TODAY()</f>
        <v>150</v>
      </c>
      <c r="AF58" s="370">
        <f>IF(ISBLANK(Table2[[#This Row],[Roster Received by]]),1,0)</f>
        <v>1</v>
      </c>
      <c r="AG58" s="377">
        <f ca="1">IF(Table2[[#This Row],[Start Date]]&gt;TODAY(),1,)</f>
        <v>1</v>
      </c>
      <c r="AH58" s="377">
        <f>IF(ISBLANK(Table2[[#This Row],[Primary Instructor]]),0,1)</f>
        <v>1</v>
      </c>
      <c r="AI58" s="377">
        <f>IF(ISBLANK(Table2[[#This Row],[Instructor 2]]),0,1)</f>
        <v>0</v>
      </c>
      <c r="AJ58" s="377">
        <f>Table2[[#This Row],[Course Length (Hours)]]/(SUM(Table2[[#This Row],[1]:[2]]))</f>
        <v>0.75</v>
      </c>
      <c r="AK58" s="370"/>
      <c r="AL58" s="377">
        <v>1</v>
      </c>
      <c r="AM58" s="403" t="str">
        <f>VLOOKUP(Table2[[#This Row],[Course Title]],'TSD-Data'!$A$1:$G$70,7,FALSE)</f>
        <v>N1</v>
      </c>
    </row>
    <row r="59" spans="1:39" s="380" customFormat="1" x14ac:dyDescent="0.25">
      <c r="A59" s="368"/>
      <c r="B59" s="396" t="s">
        <v>361</v>
      </c>
      <c r="C59" s="370" t="str">
        <f>VLOOKUP(Table2[[#This Row],[Course Title]],'TSD-Data'!$A$1:$E$70,2,FALSE)</f>
        <v>A-493-3001</v>
      </c>
      <c r="D59" s="370" t="str">
        <f>VLOOKUP(Table2[[#This Row],[Course Title]],'TSD-Data'!$A$1:$E$70,3,FALSE)</f>
        <v>31V3</v>
      </c>
      <c r="E59" s="369" t="s">
        <v>86</v>
      </c>
      <c r="F59" s="371">
        <v>45966</v>
      </c>
      <c r="G59" s="371">
        <v>45966</v>
      </c>
      <c r="H59" s="371" t="s">
        <v>752</v>
      </c>
      <c r="I59" s="372"/>
      <c r="J59" s="372">
        <v>0.45833333333333331</v>
      </c>
      <c r="K59" s="440">
        <v>0.33333333333333331</v>
      </c>
      <c r="L59" s="372">
        <v>0.79166666666666663</v>
      </c>
      <c r="M59" s="372">
        <v>0.70833333333333337</v>
      </c>
      <c r="N59" s="372">
        <v>0.25</v>
      </c>
      <c r="O59" s="372">
        <v>4.1666666666666664E-2</v>
      </c>
      <c r="P59" s="375" t="s">
        <v>325</v>
      </c>
      <c r="Q59" s="375"/>
      <c r="R59" s="376"/>
      <c r="S59" s="370">
        <f>VLOOKUP(Table2[[#This Row],[Course Title]],'TSD-Data'!$A$1:$E$70,4,FALSE)</f>
        <v>100</v>
      </c>
      <c r="T59" s="377">
        <f>VLOOKUP(Table2[[#This Row],[Course Title]],'TSD-Data'!$A$1:$F$70,6,FALSE)</f>
        <v>2</v>
      </c>
      <c r="U59" s="378">
        <f>VLOOKUP(Table2[[#This Row],[Course Title]],'TSD-Data'!$A$1:$F$70,5,FALSE)</f>
        <v>0.25</v>
      </c>
      <c r="V59" s="379">
        <v>0</v>
      </c>
      <c r="W59" s="377"/>
      <c r="X59" s="377"/>
      <c r="Y59" s="378"/>
      <c r="Z59" s="378"/>
      <c r="AA59" s="370"/>
      <c r="AB59" s="370"/>
      <c r="AC59" s="370"/>
      <c r="AD59" s="370"/>
      <c r="AE59" s="378">
        <f ca="1">Table2[[#This Row],[End Date]]+2-TODAY()</f>
        <v>150</v>
      </c>
      <c r="AF59" s="370">
        <f>IF(ISBLANK(Table2[[#This Row],[Roster Received by]]),1,0)</f>
        <v>1</v>
      </c>
      <c r="AG59" s="377">
        <f ca="1">IF(Table2[[#This Row],[Start Date]]&gt;TODAY(),1,)</f>
        <v>1</v>
      </c>
      <c r="AH59" s="377">
        <f>IF(ISBLANK(Table2[[#This Row],[Primary Instructor]]),0,1)</f>
        <v>1</v>
      </c>
      <c r="AI59" s="377">
        <f>IF(ISBLANK(Table2[[#This Row],[Instructor 2]]),0,1)</f>
        <v>0</v>
      </c>
      <c r="AJ59" s="377">
        <f>Table2[[#This Row],[Course Length (Hours)]]/(SUM(Table2[[#This Row],[1]:[2]]))</f>
        <v>2</v>
      </c>
      <c r="AK59" s="370"/>
      <c r="AL59" s="377">
        <v>1</v>
      </c>
      <c r="AM59" s="403" t="str">
        <f>VLOOKUP(Table2[[#This Row],[Course Title]],'TSD-Data'!$A$1:$G$70,7,FALSE)</f>
        <v>N1</v>
      </c>
    </row>
    <row r="60" spans="1:39" s="380" customFormat="1" x14ac:dyDescent="0.25">
      <c r="A60" s="368"/>
      <c r="B60" s="396" t="s">
        <v>375</v>
      </c>
      <c r="C60" s="370" t="str">
        <f>VLOOKUP(Table2[[#This Row],[Course Title]],'TSD-Data'!$A$1:$E$70,2,FALSE)</f>
        <v>A-493-3005</v>
      </c>
      <c r="D60" s="370" t="str">
        <f>VLOOKUP(Table2[[#This Row],[Course Title]],'TSD-Data'!$A$1:$E$70,3,FALSE)</f>
        <v>31V7</v>
      </c>
      <c r="E60" s="369" t="s">
        <v>86</v>
      </c>
      <c r="F60" s="371">
        <v>45968</v>
      </c>
      <c r="G60" s="371">
        <v>45968</v>
      </c>
      <c r="H60" s="371" t="s">
        <v>752</v>
      </c>
      <c r="I60" s="372"/>
      <c r="J60" s="372">
        <v>0.66666666666666663</v>
      </c>
      <c r="K60" s="372">
        <v>0.54166666666666663</v>
      </c>
      <c r="L60" s="372">
        <v>0</v>
      </c>
      <c r="M60" s="372">
        <v>0.95833333333333337</v>
      </c>
      <c r="N60" s="372">
        <v>0.45833333333333331</v>
      </c>
      <c r="O60" s="372">
        <v>0.25</v>
      </c>
      <c r="P60" s="375" t="s">
        <v>325</v>
      </c>
      <c r="Q60" s="375"/>
      <c r="R60" s="376"/>
      <c r="S60" s="370">
        <f>VLOOKUP(Table2[[#This Row],[Course Title]],'TSD-Data'!$A$1:$E$70,4,FALSE)</f>
        <v>100</v>
      </c>
      <c r="T60" s="377">
        <f>VLOOKUP(Table2[[#This Row],[Course Title]],'TSD-Data'!$A$1:$F$70,6,FALSE)</f>
        <v>2</v>
      </c>
      <c r="U60" s="378">
        <f>VLOOKUP(Table2[[#This Row],[Course Title]],'TSD-Data'!$A$1:$F$70,5,FALSE)</f>
        <v>0.25</v>
      </c>
      <c r="V60" s="379">
        <v>0</v>
      </c>
      <c r="W60" s="377"/>
      <c r="X60" s="377"/>
      <c r="Y60" s="378"/>
      <c r="Z60" s="378"/>
      <c r="AA60" s="370"/>
      <c r="AB60" s="370"/>
      <c r="AC60" s="370"/>
      <c r="AD60" s="370"/>
      <c r="AE60" s="378">
        <f ca="1">Table2[[#This Row],[End Date]]+2-TODAY()</f>
        <v>152</v>
      </c>
      <c r="AF60" s="370">
        <f>IF(ISBLANK(Table2[[#This Row],[Roster Received by]]),1,0)</f>
        <v>1</v>
      </c>
      <c r="AG60" s="377">
        <f ca="1">IF(Table2[[#This Row],[Start Date]]&gt;TODAY(),1,)</f>
        <v>1</v>
      </c>
      <c r="AH60" s="377">
        <f>IF(ISBLANK(Table2[[#This Row],[Primary Instructor]]),0,1)</f>
        <v>1</v>
      </c>
      <c r="AI60" s="377">
        <f>IF(ISBLANK(Table2[[#This Row],[Instructor 2]]),0,1)</f>
        <v>0</v>
      </c>
      <c r="AJ60" s="377">
        <f>Table2[[#This Row],[Course Length (Hours)]]/(SUM(Table2[[#This Row],[1]:[2]]))</f>
        <v>2</v>
      </c>
      <c r="AK60" s="370"/>
      <c r="AL60" s="377">
        <v>1</v>
      </c>
      <c r="AM60" s="403" t="str">
        <f>VLOOKUP(Table2[[#This Row],[Course Title]],'TSD-Data'!$A$1:$G$70,7,FALSE)</f>
        <v>N1</v>
      </c>
    </row>
    <row r="61" spans="1:39" s="380" customFormat="1" x14ac:dyDescent="0.25">
      <c r="A61" s="368"/>
      <c r="B61" s="396" t="s">
        <v>384</v>
      </c>
      <c r="C61" s="370" t="str">
        <f>VLOOKUP(Table2[[#This Row],[Course Title]],'TSD-Data'!$A$1:$E$70,2,FALSE)</f>
        <v>A-493-3008</v>
      </c>
      <c r="D61" s="370" t="str">
        <f>VLOOKUP(Table2[[#This Row],[Course Title]],'TSD-Data'!$A$1:$E$70,3,FALSE)</f>
        <v>31VA</v>
      </c>
      <c r="E61" s="369" t="s">
        <v>86</v>
      </c>
      <c r="F61" s="371">
        <v>45968</v>
      </c>
      <c r="G61" s="371">
        <v>45968</v>
      </c>
      <c r="H61" s="371" t="s">
        <v>752</v>
      </c>
      <c r="I61" s="372"/>
      <c r="J61" s="372">
        <v>0.45833333333333331</v>
      </c>
      <c r="K61" s="372">
        <v>0.33333333333333331</v>
      </c>
      <c r="L61" s="372">
        <v>0.79166666666666663</v>
      </c>
      <c r="M61" s="372">
        <v>0.70833333333333337</v>
      </c>
      <c r="N61" s="372">
        <v>0.25</v>
      </c>
      <c r="O61" s="372">
        <v>4.1666666666666664E-2</v>
      </c>
      <c r="P61" s="375" t="s">
        <v>325</v>
      </c>
      <c r="Q61" s="375"/>
      <c r="R61" s="376"/>
      <c r="S61" s="370">
        <f>VLOOKUP(Table2[[#This Row],[Course Title]],'TSD-Data'!$A$1:$E$70,4,FALSE)</f>
        <v>100</v>
      </c>
      <c r="T61" s="377">
        <f>VLOOKUP(Table2[[#This Row],[Course Title]],'TSD-Data'!$A$1:$F$70,6,FALSE)</f>
        <v>1</v>
      </c>
      <c r="U61" s="378">
        <f>VLOOKUP(Table2[[#This Row],[Course Title]],'TSD-Data'!$A$1:$F$70,5,FALSE)</f>
        <v>0.1</v>
      </c>
      <c r="V61" s="379">
        <v>0</v>
      </c>
      <c r="W61" s="377"/>
      <c r="X61" s="377"/>
      <c r="Y61" s="378"/>
      <c r="Z61" s="378"/>
      <c r="AA61" s="370"/>
      <c r="AB61" s="370"/>
      <c r="AC61" s="370"/>
      <c r="AD61" s="370"/>
      <c r="AE61" s="378">
        <f ca="1">Table2[[#This Row],[End Date]]+2-TODAY()</f>
        <v>152</v>
      </c>
      <c r="AF61" s="370">
        <f>IF(ISBLANK(Table2[[#This Row],[Roster Received by]]),1,0)</f>
        <v>1</v>
      </c>
      <c r="AG61" s="377">
        <f ca="1">IF(Table2[[#This Row],[Start Date]]&gt;TODAY(),1,)</f>
        <v>1</v>
      </c>
      <c r="AH61" s="377">
        <f>IF(ISBLANK(Table2[[#This Row],[Primary Instructor]]),0,1)</f>
        <v>1</v>
      </c>
      <c r="AI61" s="377">
        <f>IF(ISBLANK(Table2[[#This Row],[Instructor 2]]),0,1)</f>
        <v>0</v>
      </c>
      <c r="AJ61" s="377">
        <f>Table2[[#This Row],[Course Length (Hours)]]/(SUM(Table2[[#This Row],[1]:[2]]))</f>
        <v>1</v>
      </c>
      <c r="AK61" s="370"/>
      <c r="AL61" s="377">
        <v>1</v>
      </c>
      <c r="AM61" s="403" t="str">
        <f>VLOOKUP(Table2[[#This Row],[Course Title]],'TSD-Data'!$A$1:$G$70,7,FALSE)</f>
        <v>N1</v>
      </c>
    </row>
    <row r="62" spans="1:39" s="380" customFormat="1" x14ac:dyDescent="0.25">
      <c r="A62" s="368"/>
      <c r="B62" s="396" t="s">
        <v>388</v>
      </c>
      <c r="C62" s="370" t="str">
        <f>VLOOKUP(Table2[[#This Row],[Course Title]],'TSD-Data'!$A$1:$E$70,2,FALSE)</f>
        <v>A-493-3009</v>
      </c>
      <c r="D62" s="370" t="str">
        <f>VLOOKUP(Table2[[#This Row],[Course Title]],'TSD-Data'!$A$1:$E$70,3,FALSE)</f>
        <v>31VB</v>
      </c>
      <c r="E62" s="369" t="s">
        <v>86</v>
      </c>
      <c r="F62" s="371">
        <v>45968</v>
      </c>
      <c r="G62" s="371">
        <v>45968</v>
      </c>
      <c r="H62" s="371" t="s">
        <v>752</v>
      </c>
      <c r="I62" s="372"/>
      <c r="J62" s="372">
        <v>0.52083333333333337</v>
      </c>
      <c r="K62" s="397">
        <v>0.39583333333333331</v>
      </c>
      <c r="L62" s="372">
        <v>0.85416666666666663</v>
      </c>
      <c r="M62" s="372">
        <v>0.77083333333333337</v>
      </c>
      <c r="N62" s="372">
        <v>0.3125</v>
      </c>
      <c r="O62" s="372">
        <v>0.10416666666666667</v>
      </c>
      <c r="P62" s="375" t="s">
        <v>325</v>
      </c>
      <c r="Q62" s="375"/>
      <c r="R62" s="376"/>
      <c r="S62" s="370">
        <f>VLOOKUP(Table2[[#This Row],[Course Title]],'TSD-Data'!$A$1:$E$70,4,FALSE)</f>
        <v>100</v>
      </c>
      <c r="T62" s="377">
        <f>VLOOKUP(Table2[[#This Row],[Course Title]],'TSD-Data'!$A$1:$F$70,6,FALSE)</f>
        <v>1</v>
      </c>
      <c r="U62" s="378">
        <f>VLOOKUP(Table2[[#This Row],[Course Title]],'TSD-Data'!$A$1:$F$70,5,FALSE)</f>
        <v>0.1</v>
      </c>
      <c r="V62" s="379">
        <v>0</v>
      </c>
      <c r="W62" s="377"/>
      <c r="X62" s="377"/>
      <c r="Y62" s="378"/>
      <c r="Z62" s="378"/>
      <c r="AA62" s="370"/>
      <c r="AB62" s="370"/>
      <c r="AC62" s="370"/>
      <c r="AD62" s="370"/>
      <c r="AE62" s="378">
        <f ca="1">Table2[[#This Row],[End Date]]+2-TODAY()</f>
        <v>152</v>
      </c>
      <c r="AF62" s="370">
        <f>IF(ISBLANK(Table2[[#This Row],[Roster Received by]]),1,0)</f>
        <v>1</v>
      </c>
      <c r="AG62" s="377">
        <f ca="1">IF(Table2[[#This Row],[Start Date]]&gt;TODAY(),1,)</f>
        <v>1</v>
      </c>
      <c r="AH62" s="377">
        <f>IF(ISBLANK(Table2[[#This Row],[Primary Instructor]]),0,1)</f>
        <v>1</v>
      </c>
      <c r="AI62" s="377">
        <f>IF(ISBLANK(Table2[[#This Row],[Instructor 2]]),0,1)</f>
        <v>0</v>
      </c>
      <c r="AJ62" s="377">
        <f>Table2[[#This Row],[Course Length (Hours)]]/(SUM(Table2[[#This Row],[1]:[2]]))</f>
        <v>1</v>
      </c>
      <c r="AK62" s="370"/>
      <c r="AL62" s="377">
        <v>1</v>
      </c>
      <c r="AM62" s="403" t="str">
        <f>VLOOKUP(Table2[[#This Row],[Course Title]],'TSD-Data'!$A$1:$G$70,7,FALSE)</f>
        <v>N1</v>
      </c>
    </row>
    <row r="63" spans="1:39" s="380" customFormat="1" x14ac:dyDescent="0.25">
      <c r="A63" s="384" t="s">
        <v>478</v>
      </c>
      <c r="B63" s="478" t="s">
        <v>181</v>
      </c>
      <c r="C63" s="370" t="str">
        <f>VLOOKUP(Table2[[#This Row],[Course Title]],'TSD-Data'!$A$1:$E$70,2,FALSE)</f>
        <v>Holiday</v>
      </c>
      <c r="D63" s="370" t="str">
        <f>VLOOKUP(Table2[[#This Row],[Course Title]],'TSD-Data'!$A$1:$E$70,3,FALSE)</f>
        <v>Holiday</v>
      </c>
      <c r="E63" s="386" t="s">
        <v>181</v>
      </c>
      <c r="F63" s="387">
        <v>45972</v>
      </c>
      <c r="G63" s="387">
        <v>45972</v>
      </c>
      <c r="H63" s="371" t="s">
        <v>788</v>
      </c>
      <c r="I63" s="388"/>
      <c r="J63" s="388"/>
      <c r="K63" s="388"/>
      <c r="L63" s="388"/>
      <c r="M63" s="388"/>
      <c r="N63" s="388"/>
      <c r="O63" s="388"/>
      <c r="P63" s="386" t="s">
        <v>322</v>
      </c>
      <c r="Q63" s="386"/>
      <c r="R63" s="386"/>
      <c r="S63" s="370">
        <f>VLOOKUP(Table2[[#This Row],[Course Title]],'TSD-Data'!$A$1:$E$70,4,FALSE)</f>
        <v>0</v>
      </c>
      <c r="T63" s="377">
        <f>VLOOKUP(Table2[[#This Row],[Course Title]],'TSD-Data'!$A$1:$F$70,6,FALSE)</f>
        <v>0</v>
      </c>
      <c r="U63" s="378">
        <f>VLOOKUP(Table2[[#This Row],[Course Title]],'TSD-Data'!$A$1:$F$70,5,FALSE)</f>
        <v>0</v>
      </c>
      <c r="V63" s="389">
        <v>0</v>
      </c>
      <c r="W63" s="388">
        <v>0</v>
      </c>
      <c r="X63" s="388">
        <v>0</v>
      </c>
      <c r="Y63" s="388">
        <v>0</v>
      </c>
      <c r="Z63" s="388">
        <v>0</v>
      </c>
      <c r="AA63" s="388">
        <v>0</v>
      </c>
      <c r="AB63" s="388">
        <v>0</v>
      </c>
      <c r="AC63" s="388">
        <v>0</v>
      </c>
      <c r="AD63" s="388" t="s">
        <v>247</v>
      </c>
      <c r="AE63" s="379">
        <f ca="1">Table2[[#This Row],[End Date]]+2-TODAY()</f>
        <v>156</v>
      </c>
      <c r="AF63" s="388">
        <v>0</v>
      </c>
      <c r="AG63" s="388">
        <v>0</v>
      </c>
      <c r="AH63" s="388">
        <v>0</v>
      </c>
      <c r="AI63" s="388">
        <v>0</v>
      </c>
      <c r="AJ63" s="388" t="e">
        <v>#DIV/0!</v>
      </c>
      <c r="AK63" s="388">
        <v>0</v>
      </c>
      <c r="AL63" s="377">
        <v>1</v>
      </c>
      <c r="AM63" s="403" t="str">
        <f>VLOOKUP(Table2[[#This Row],[Course Title]],'TSD-Data'!$A$1:$G$70,7,FALSE)</f>
        <v>TSD</v>
      </c>
    </row>
    <row r="64" spans="1:39" s="380" customFormat="1" x14ac:dyDescent="0.25">
      <c r="A64" s="368"/>
      <c r="B64" s="483" t="s">
        <v>49</v>
      </c>
      <c r="C64" s="370" t="str">
        <f>VLOOKUP(Table2[[#This Row],[Course Title]],'TSD-Data'!$A$1:$E$70,2,FALSE)</f>
        <v>A-493-0092</v>
      </c>
      <c r="D64" s="370">
        <f>VLOOKUP(Table2[[#This Row],[Course Title]],'TSD-Data'!$A$1:$E$70,3,FALSE)</f>
        <v>5891</v>
      </c>
      <c r="E64" s="369" t="s">
        <v>167</v>
      </c>
      <c r="F64" s="371">
        <v>45973</v>
      </c>
      <c r="G64" s="371">
        <v>45975</v>
      </c>
      <c r="H64" s="371" t="s">
        <v>752</v>
      </c>
      <c r="I64" s="372">
        <v>0.33333333333333331</v>
      </c>
      <c r="J64" s="372"/>
      <c r="K64" s="437"/>
      <c r="L64" s="371"/>
      <c r="M64" s="371"/>
      <c r="N64" s="371"/>
      <c r="O64" s="371"/>
      <c r="P64" s="375" t="s">
        <v>238</v>
      </c>
      <c r="Q64" s="375"/>
      <c r="R64" s="376" t="s">
        <v>244</v>
      </c>
      <c r="S64" s="370">
        <f>VLOOKUP(Table2[[#This Row],[Course Title]],'TSD-Data'!$A$1:$E$70,4,FALSE)</f>
        <v>25</v>
      </c>
      <c r="T64" s="377">
        <f>VLOOKUP(Table2[[#This Row],[Course Title]],'TSD-Data'!$A$1:$F$70,6,FALSE)</f>
        <v>24</v>
      </c>
      <c r="U64" s="378">
        <f>VLOOKUP(Table2[[#This Row],[Course Title]],'TSD-Data'!$A$1:$F$70,5,FALSE)</f>
        <v>3</v>
      </c>
      <c r="V64" s="379">
        <v>42</v>
      </c>
      <c r="W64" s="377"/>
      <c r="X64" s="377"/>
      <c r="Y64" s="378"/>
      <c r="Z64" s="378"/>
      <c r="AA64" s="370"/>
      <c r="AB64" s="370"/>
      <c r="AC64" s="370"/>
      <c r="AD64" s="370"/>
      <c r="AE64" s="378">
        <f ca="1">Table2[[#This Row],[End Date]]+2-TODAY()</f>
        <v>159</v>
      </c>
      <c r="AF64" s="370">
        <f>IF(ISBLANK(Table2[[#This Row],[Roster Received by]]),1,0)</f>
        <v>1</v>
      </c>
      <c r="AG64" s="377">
        <f ca="1">IF(Table2[[#This Row],[Start Date]]&gt;TODAY(),1,)</f>
        <v>1</v>
      </c>
      <c r="AH64" s="377">
        <f>IF(ISBLANK(Table2[[#This Row],[Primary Instructor]]),0,1)</f>
        <v>1</v>
      </c>
      <c r="AI64" s="377">
        <f>IF(ISBLANK(Table2[[#This Row],[Instructor 2]]),0,1)</f>
        <v>0</v>
      </c>
      <c r="AJ64" s="377">
        <f>Table2[[#This Row],[Course Length (Hours)]]/(SUM(Table2[[#This Row],[1]:[2]]))</f>
        <v>24</v>
      </c>
      <c r="AK64" s="370"/>
      <c r="AL64" s="377">
        <v>1</v>
      </c>
      <c r="AM64" s="403" t="str">
        <f>VLOOKUP(Table2[[#This Row],[Course Title]],'TSD-Data'!$A$1:$G$70,7,FALSE)</f>
        <v>N3</v>
      </c>
    </row>
    <row r="65" spans="1:39" s="380" customFormat="1" x14ac:dyDescent="0.25">
      <c r="A65" s="368"/>
      <c r="B65" s="478" t="s">
        <v>50</v>
      </c>
      <c r="C65" s="370" t="str">
        <f>VLOOKUP(Table2[[#This Row],[Course Title]],'TSD-Data'!$A$1:$E$70,2,FALSE)</f>
        <v>A-493-0331</v>
      </c>
      <c r="D65" s="370" t="str">
        <f>VLOOKUP(Table2[[#This Row],[Course Title]],'TSD-Data'!$A$1:$E$70,3,FALSE)</f>
        <v>10UG</v>
      </c>
      <c r="E65" s="369" t="s">
        <v>86</v>
      </c>
      <c r="F65" s="371">
        <v>45973</v>
      </c>
      <c r="G65" s="371">
        <v>45975</v>
      </c>
      <c r="H65" s="371" t="s">
        <v>752</v>
      </c>
      <c r="I65" s="372"/>
      <c r="J65" s="381">
        <v>0.5</v>
      </c>
      <c r="K65" s="381">
        <v>0.375</v>
      </c>
      <c r="L65" s="381">
        <v>0.83333333333333337</v>
      </c>
      <c r="M65" s="381">
        <v>0.75</v>
      </c>
      <c r="N65" s="381">
        <v>0.29166666666666669</v>
      </c>
      <c r="O65" s="381">
        <v>8.3333333333333329E-2</v>
      </c>
      <c r="P65" s="375" t="s">
        <v>233</v>
      </c>
      <c r="Q65" s="375"/>
      <c r="R65" s="376"/>
      <c r="S65" s="370">
        <f>VLOOKUP(Table2[[#This Row],[Course Title]],'TSD-Data'!$A$1:$E$70,4,FALSE)</f>
        <v>45</v>
      </c>
      <c r="T65" s="377">
        <f>VLOOKUP(Table2[[#This Row],[Course Title]],'TSD-Data'!$A$1:$F$70,6,FALSE)</f>
        <v>24</v>
      </c>
      <c r="U65" s="378">
        <f>VLOOKUP(Table2[[#This Row],[Course Title]],'TSD-Data'!$A$1:$F$70,5,FALSE)</f>
        <v>3</v>
      </c>
      <c r="V65" s="379">
        <v>844</v>
      </c>
      <c r="W65" s="377"/>
      <c r="X65" s="377"/>
      <c r="Y65" s="378"/>
      <c r="Z65" s="378"/>
      <c r="AA65" s="370"/>
      <c r="AB65" s="370"/>
      <c r="AC65" s="370"/>
      <c r="AD65" s="370"/>
      <c r="AE65" s="378">
        <f ca="1">Table2[[#This Row],[End Date]]+2-TODAY()</f>
        <v>159</v>
      </c>
      <c r="AF65" s="370">
        <f>IF(ISBLANK(Table2[[#This Row],[Roster Received by]]),1,0)</f>
        <v>1</v>
      </c>
      <c r="AG65" s="377">
        <f ca="1">IF(Table2[[#This Row],[Start Date]]&gt;TODAY(),1,)</f>
        <v>1</v>
      </c>
      <c r="AH65" s="377">
        <f>IF(ISBLANK(Table2[[#This Row],[Primary Instructor]]),0,1)</f>
        <v>1</v>
      </c>
      <c r="AI65" s="377">
        <f>IF(ISBLANK(Table2[[#This Row],[Instructor 2]]),0,1)</f>
        <v>0</v>
      </c>
      <c r="AJ65" s="377">
        <f>Table2[[#This Row],[Course Length (Hours)]]/(SUM(Table2[[#This Row],[1]:[2]]))</f>
        <v>24</v>
      </c>
      <c r="AK65" s="370"/>
      <c r="AL65" s="377">
        <v>1</v>
      </c>
      <c r="AM65" s="403" t="str">
        <f>VLOOKUP(Table2[[#This Row],[Course Title]],'TSD-Data'!$A$1:$G$70,7,FALSE)</f>
        <v>N3</v>
      </c>
    </row>
    <row r="66" spans="1:39" s="380" customFormat="1" x14ac:dyDescent="0.25">
      <c r="A66" s="368"/>
      <c r="B66" s="396" t="s">
        <v>334</v>
      </c>
      <c r="C66" s="370" t="str">
        <f>VLOOKUP(Table2[[#This Row],[Course Title]],'TSD-Data'!$A$1:$E$70,2,FALSE)</f>
        <v>A-493-2099</v>
      </c>
      <c r="D66" s="370" t="str">
        <f>VLOOKUP(Table2[[#This Row],[Course Title]],'TSD-Data'!$A$1:$E$70,3,FALSE)</f>
        <v>438G</v>
      </c>
      <c r="E66" s="369" t="s">
        <v>167</v>
      </c>
      <c r="F66" s="371">
        <v>45973</v>
      </c>
      <c r="G66" s="371">
        <v>45974</v>
      </c>
      <c r="H66" s="371" t="s">
        <v>752</v>
      </c>
      <c r="I66" s="372">
        <v>0.33333333333333331</v>
      </c>
      <c r="J66" s="372"/>
      <c r="K66" s="393"/>
      <c r="L66" s="371"/>
      <c r="M66" s="371"/>
      <c r="N66" s="371"/>
      <c r="O66" s="371"/>
      <c r="P66" s="375" t="s">
        <v>244</v>
      </c>
      <c r="Q66" s="375"/>
      <c r="R66" s="376"/>
      <c r="S66" s="370">
        <f>VLOOKUP(Table2[[#This Row],[Course Title]],'TSD-Data'!$A$1:$E$70,4,FALSE)</f>
        <v>30</v>
      </c>
      <c r="T66" s="377">
        <f>VLOOKUP(Table2[[#This Row],[Course Title]],'TSD-Data'!$A$1:$F$70,6,FALSE)</f>
        <v>16</v>
      </c>
      <c r="U66" s="378">
        <f>VLOOKUP(Table2[[#This Row],[Course Title]],'TSD-Data'!$A$1:$F$70,5,FALSE)</f>
        <v>2</v>
      </c>
      <c r="V66" s="379">
        <v>0</v>
      </c>
      <c r="W66" s="377"/>
      <c r="X66" s="377"/>
      <c r="Y66" s="378"/>
      <c r="Z66" s="378"/>
      <c r="AA66" s="370"/>
      <c r="AB66" s="370"/>
      <c r="AC66" s="370"/>
      <c r="AD66" s="370"/>
      <c r="AE66" s="378">
        <f ca="1">Table2[[#This Row],[End Date]]+2-TODAY()</f>
        <v>158</v>
      </c>
      <c r="AF66" s="370">
        <f>IF(ISBLANK(Table2[[#This Row],[Roster Received by]]),1,0)</f>
        <v>1</v>
      </c>
      <c r="AG66" s="377">
        <f ca="1">IF(Table2[[#This Row],[Start Date]]&gt;TODAY(),1,)</f>
        <v>1</v>
      </c>
      <c r="AH66" s="377">
        <f>IF(ISBLANK(Table2[[#This Row],[Primary Instructor]]),0,1)</f>
        <v>1</v>
      </c>
      <c r="AI66" s="377">
        <f>IF(ISBLANK(Table2[[#This Row],[Instructor 2]]),0,1)</f>
        <v>0</v>
      </c>
      <c r="AJ66" s="377">
        <f>Table2[[#This Row],[Course Length (Hours)]]/(SUM(Table2[[#This Row],[1]:[2]]))</f>
        <v>16</v>
      </c>
      <c r="AK66" s="370"/>
      <c r="AL66" s="377">
        <v>1</v>
      </c>
      <c r="AM66" s="403" t="str">
        <f>VLOOKUP(Table2[[#This Row],[Course Title]],'TSD-Data'!$A$1:$G$70,7,FALSE)</f>
        <v>N1</v>
      </c>
    </row>
    <row r="67" spans="1:39" s="380" customFormat="1" x14ac:dyDescent="0.25">
      <c r="A67" s="369"/>
      <c r="B67" s="396" t="s">
        <v>15</v>
      </c>
      <c r="C67" s="370" t="str">
        <f>VLOOKUP(Table2[[#This Row],[Course Title]],'TSD-Data'!$A$1:$E$70,2,FALSE)</f>
        <v>A-4J-0022</v>
      </c>
      <c r="D67" s="370" t="str">
        <f>VLOOKUP(Table2[[#This Row],[Course Title]],'TSD-Data'!$A$1:$E$70,3,FALSE)</f>
        <v>09ER</v>
      </c>
      <c r="E67" s="369" t="s">
        <v>86</v>
      </c>
      <c r="F67" s="371">
        <v>45978</v>
      </c>
      <c r="G67" s="371">
        <v>45982</v>
      </c>
      <c r="H67" s="371" t="s">
        <v>752</v>
      </c>
      <c r="I67" s="372"/>
      <c r="J67" s="440">
        <v>0.33333333333333331</v>
      </c>
      <c r="K67" s="440">
        <v>0.20833333333333334</v>
      </c>
      <c r="L67" s="442">
        <v>1600</v>
      </c>
      <c r="M67" s="442">
        <v>1400</v>
      </c>
      <c r="N67" s="440">
        <v>0.125</v>
      </c>
      <c r="O67" s="442">
        <v>2200</v>
      </c>
      <c r="P67" s="375" t="s">
        <v>238</v>
      </c>
      <c r="Q67" s="375"/>
      <c r="R67" s="375"/>
      <c r="S67" s="370">
        <f>VLOOKUP(Table2[[#This Row],[Course Title]],'TSD-Data'!$A$1:$E$70,4,FALSE)</f>
        <v>45</v>
      </c>
      <c r="T67" s="377">
        <f>VLOOKUP(Table2[[#This Row],[Course Title]],'TSD-Data'!$A$1:$F$70,6,FALSE)</f>
        <v>16</v>
      </c>
      <c r="U67" s="378">
        <f>VLOOKUP(Table2[[#This Row],[Course Title]],'TSD-Data'!$A$1:$F$70,5,FALSE)</f>
        <v>2</v>
      </c>
      <c r="V67" s="379">
        <v>141</v>
      </c>
      <c r="W67" s="377"/>
      <c r="X67" s="377"/>
      <c r="Y67" s="379"/>
      <c r="Z67" s="379"/>
      <c r="AA67" s="377"/>
      <c r="AB67" s="377"/>
      <c r="AC67" s="377"/>
      <c r="AD67" s="377"/>
      <c r="AE67" s="379">
        <f ca="1">Table2[[#This Row],[End Date]]+2-TODAY()</f>
        <v>166</v>
      </c>
      <c r="AF67" s="377">
        <f>IF(ISBLANK(Table2[[#This Row],[Roster Received by]]),1,0)</f>
        <v>1</v>
      </c>
      <c r="AG67" s="377">
        <f ca="1">IF(Table2[[#This Row],[Start Date]]&gt;TODAY(),1,)</f>
        <v>1</v>
      </c>
      <c r="AH67" s="377">
        <f>IF(ISBLANK(Table2[[#This Row],[Primary Instructor]]),0,1)</f>
        <v>1</v>
      </c>
      <c r="AI67" s="377">
        <f>IF(ISBLANK(Table2[[#This Row],[Instructor 2]]),0,1)</f>
        <v>0</v>
      </c>
      <c r="AJ67" s="377">
        <f>Table2[[#This Row],[Course Length (Hours)]]/(SUM(Table2[[#This Row],[1]:[2]]))</f>
        <v>16</v>
      </c>
      <c r="AK67" s="377"/>
      <c r="AL67" s="377">
        <v>1</v>
      </c>
      <c r="AM67" s="403" t="str">
        <f>VLOOKUP(Table2[[#This Row],[Course Title]],'TSD-Data'!$A$1:$G$70,7,FALSE)</f>
        <v>N4</v>
      </c>
    </row>
    <row r="68" spans="1:39" s="380" customFormat="1" x14ac:dyDescent="0.25">
      <c r="A68" s="369"/>
      <c r="B68" s="396" t="s">
        <v>37</v>
      </c>
      <c r="C68" s="370" t="str">
        <f>VLOOKUP(Table2[[#This Row],[Course Title]],'TSD-Data'!$A$1:$E$70,2,FALSE)</f>
        <v>A-493-0665</v>
      </c>
      <c r="D68" s="370" t="str">
        <f>VLOOKUP(Table2[[#This Row],[Course Title]],'TSD-Data'!$A$1:$E$70,3,FALSE)</f>
        <v>10KW</v>
      </c>
      <c r="E68" s="369" t="s">
        <v>86</v>
      </c>
      <c r="F68" s="371">
        <v>45978</v>
      </c>
      <c r="G68" s="371">
        <v>45980</v>
      </c>
      <c r="H68" s="371" t="s">
        <v>752</v>
      </c>
      <c r="I68" s="372"/>
      <c r="J68" s="372">
        <v>0.79166666666666663</v>
      </c>
      <c r="K68" s="439">
        <v>0.66666666666666663</v>
      </c>
      <c r="L68" s="381">
        <v>0.125</v>
      </c>
      <c r="M68" s="381">
        <v>4.1666666666666664E-2</v>
      </c>
      <c r="N68" s="381">
        <v>0.58333333333333337</v>
      </c>
      <c r="O68" s="381">
        <v>0.375</v>
      </c>
      <c r="P68" s="375" t="s">
        <v>248</v>
      </c>
      <c r="Q68" s="375"/>
      <c r="R68" s="375"/>
      <c r="S68" s="370">
        <f>VLOOKUP(Table2[[#This Row],[Course Title]],'TSD-Data'!$A$1:$E$70,4,FALSE)</f>
        <v>45</v>
      </c>
      <c r="T68" s="377">
        <f>VLOOKUP(Table2[[#This Row],[Course Title]],'TSD-Data'!$A$1:$F$70,6,FALSE)</f>
        <v>24</v>
      </c>
      <c r="U68" s="378">
        <f>VLOOKUP(Table2[[#This Row],[Course Title]],'TSD-Data'!$A$1:$F$70,5,FALSE)</f>
        <v>3</v>
      </c>
      <c r="V68" s="379">
        <v>82</v>
      </c>
      <c r="W68" s="377"/>
      <c r="X68" s="377"/>
      <c r="Y68" s="379"/>
      <c r="Z68" s="379"/>
      <c r="AA68" s="377"/>
      <c r="AB68" s="377"/>
      <c r="AC68" s="377"/>
      <c r="AD68" s="377"/>
      <c r="AE68" s="379">
        <f ca="1">Table2[[#This Row],[End Date]]+2-TODAY()</f>
        <v>164</v>
      </c>
      <c r="AF68" s="377">
        <f>IF(ISBLANK(Table2[[#This Row],[Roster Received by]]),1,0)</f>
        <v>1</v>
      </c>
      <c r="AG68" s="377">
        <f ca="1">IF(Table2[[#This Row],[Start Date]]&gt;TODAY(),1,)</f>
        <v>1</v>
      </c>
      <c r="AH68" s="377">
        <f>IF(ISBLANK(Table2[[#This Row],[Primary Instructor]]),0,1)</f>
        <v>1</v>
      </c>
      <c r="AI68" s="377">
        <f>IF(ISBLANK(Table2[[#This Row],[Instructor 2]]),0,1)</f>
        <v>0</v>
      </c>
      <c r="AJ68" s="377">
        <f>Table2[[#This Row],[Course Length (Hours)]]/(SUM(Table2[[#This Row],[1]:[2]]))</f>
        <v>24</v>
      </c>
      <c r="AK68" s="377"/>
      <c r="AL68" s="377">
        <v>1</v>
      </c>
      <c r="AM68" s="403" t="str">
        <f>VLOOKUP(Table2[[#This Row],[Course Title]],'TSD-Data'!$A$1:$G$70,7,FALSE)</f>
        <v>N5</v>
      </c>
    </row>
    <row r="69" spans="1:39" s="380" customFormat="1" x14ac:dyDescent="0.25">
      <c r="A69" s="425"/>
      <c r="B69" s="455" t="s">
        <v>17</v>
      </c>
      <c r="C69" s="370" t="str">
        <f>VLOOKUP(Table2[[#This Row],[Course Title]],'TSD-Data'!$A$1:$E$70,2,FALSE)</f>
        <v>A-493-0012</v>
      </c>
      <c r="D69" s="370">
        <f>VLOOKUP(Table2[[#This Row],[Course Title]],'TSD-Data'!$A$1:$E$70,3,FALSE)</f>
        <v>3682</v>
      </c>
      <c r="E69" s="401" t="s">
        <v>316</v>
      </c>
      <c r="F69" s="426">
        <v>45978</v>
      </c>
      <c r="G69" s="426">
        <v>45982</v>
      </c>
      <c r="H69" s="371" t="s">
        <v>752</v>
      </c>
      <c r="I69" s="372">
        <v>0.33333333333333331</v>
      </c>
      <c r="J69" s="372"/>
      <c r="K69" s="393"/>
      <c r="L69" s="371"/>
      <c r="M69" s="371"/>
      <c r="N69" s="371"/>
      <c r="O69" s="371"/>
      <c r="P69" s="375" t="s">
        <v>241</v>
      </c>
      <c r="Q69" s="375"/>
      <c r="R69" s="376"/>
      <c r="S69" s="370">
        <f>VLOOKUP(Table2[[#This Row],[Course Title]],'TSD-Data'!$A$1:$E$70,4,FALSE)</f>
        <v>40</v>
      </c>
      <c r="T69" s="377">
        <f>VLOOKUP(Table2[[#This Row],[Course Title]],'TSD-Data'!$A$1:$F$70,6,FALSE)</f>
        <v>40</v>
      </c>
      <c r="U69" s="378">
        <f>VLOOKUP(Table2[[#This Row],[Course Title]],'TSD-Data'!$A$1:$F$70,5,FALSE)</f>
        <v>5</v>
      </c>
      <c r="V69" s="377">
        <v>30</v>
      </c>
      <c r="W69" s="377"/>
      <c r="X69" s="377"/>
      <c r="Y69" s="378"/>
      <c r="Z69" s="378"/>
      <c r="AA69" s="370"/>
      <c r="AB69" s="370"/>
      <c r="AC69" s="370"/>
      <c r="AD69" s="370"/>
      <c r="AE69" s="378" t="e">
        <v>#REF!</v>
      </c>
      <c r="AF69" s="370">
        <v>1</v>
      </c>
      <c r="AG69" s="377" t="e">
        <v>#REF!</v>
      </c>
      <c r="AH69" s="377">
        <v>1</v>
      </c>
      <c r="AI69" s="377">
        <v>0</v>
      </c>
      <c r="AJ69" s="377">
        <v>24</v>
      </c>
      <c r="AK69" s="370"/>
      <c r="AL69" s="377">
        <v>1</v>
      </c>
      <c r="AM69" s="403" t="str">
        <f>VLOOKUP(Table2[[#This Row],[Course Title]],'TSD-Data'!$A$1:$G$70,7,FALSE)</f>
        <v>N4</v>
      </c>
    </row>
    <row r="70" spans="1:39" s="380" customFormat="1" x14ac:dyDescent="0.25">
      <c r="A70" s="425" t="s">
        <v>705</v>
      </c>
      <c r="B70" s="455" t="s">
        <v>17</v>
      </c>
      <c r="C70" s="370" t="str">
        <f>VLOOKUP(Table2[[#This Row],[Course Title]],'TSD-Data'!$A$1:$E$70,2,FALSE)</f>
        <v>A-493-0012</v>
      </c>
      <c r="D70" s="370">
        <f>VLOOKUP(Table2[[#This Row],[Course Title]],'TSD-Data'!$A$1:$E$70,3,FALSE)</f>
        <v>3682</v>
      </c>
      <c r="E70" s="433" t="s">
        <v>176</v>
      </c>
      <c r="F70" s="438">
        <v>45978</v>
      </c>
      <c r="G70" s="438">
        <v>45982</v>
      </c>
      <c r="H70" s="371" t="s">
        <v>752</v>
      </c>
      <c r="I70" s="372">
        <v>0.33333333333333331</v>
      </c>
      <c r="J70" s="372"/>
      <c r="K70" s="371"/>
      <c r="L70" s="371"/>
      <c r="M70" s="371"/>
      <c r="N70" s="371"/>
      <c r="O70" s="371"/>
      <c r="P70" s="375" t="s">
        <v>241</v>
      </c>
      <c r="Q70" s="375"/>
      <c r="R70" s="376"/>
      <c r="S70" s="370">
        <f>VLOOKUP(Table2[[#This Row],[Course Title]],'TSD-Data'!$A$1:$E$70,4,FALSE)</f>
        <v>40</v>
      </c>
      <c r="T70" s="377">
        <f>VLOOKUP(Table2[[#This Row],[Course Title]],'TSD-Data'!$A$1:$F$70,6,FALSE)</f>
        <v>40</v>
      </c>
      <c r="U70" s="378">
        <f>VLOOKUP(Table2[[#This Row],[Course Title]],'TSD-Data'!$A$1:$F$70,5,FALSE)</f>
        <v>5</v>
      </c>
      <c r="V70" s="377">
        <v>63</v>
      </c>
      <c r="W70" s="377"/>
      <c r="X70" s="377"/>
      <c r="Y70" s="378"/>
      <c r="Z70" s="378"/>
      <c r="AA70" s="370"/>
      <c r="AB70" s="370"/>
      <c r="AC70" s="370"/>
      <c r="AD70" s="370"/>
      <c r="AE70" s="378" t="e">
        <v>#REF!</v>
      </c>
      <c r="AF70" s="370">
        <v>1</v>
      </c>
      <c r="AG70" s="377" t="e">
        <v>#REF!</v>
      </c>
      <c r="AH70" s="377">
        <v>1</v>
      </c>
      <c r="AI70" s="377">
        <v>0</v>
      </c>
      <c r="AJ70" s="377">
        <v>24</v>
      </c>
      <c r="AK70" s="370"/>
      <c r="AL70" s="377">
        <v>1</v>
      </c>
      <c r="AM70" s="403" t="str">
        <f>VLOOKUP(Table2[[#This Row],[Course Title]],'TSD-Data'!$A$1:$G$70,7,FALSE)</f>
        <v>N4</v>
      </c>
    </row>
    <row r="71" spans="1:39" s="380" customFormat="1" x14ac:dyDescent="0.25">
      <c r="A71" s="368"/>
      <c r="B71" s="396" t="s">
        <v>38</v>
      </c>
      <c r="C71" s="370" t="str">
        <f>VLOOKUP(Table2[[#This Row],[Course Title]],'TSD-Data'!$A$1:$E$70,2,FALSE)</f>
        <v>A-493-0061</v>
      </c>
      <c r="D71" s="370" t="str">
        <f>VLOOKUP(Table2[[#This Row],[Course Title]],'TSD-Data'!$A$1:$E$70,3,FALSE)</f>
        <v>288E</v>
      </c>
      <c r="E71" s="369" t="s">
        <v>86</v>
      </c>
      <c r="F71" s="371">
        <v>45978</v>
      </c>
      <c r="G71" s="371">
        <v>45981</v>
      </c>
      <c r="H71" s="371" t="s">
        <v>752</v>
      </c>
      <c r="I71" s="372"/>
      <c r="J71" s="372">
        <v>0.33333333333333331</v>
      </c>
      <c r="K71" s="372">
        <v>0.20833333333333334</v>
      </c>
      <c r="L71" s="388">
        <v>1600</v>
      </c>
      <c r="M71" s="388">
        <v>1400</v>
      </c>
      <c r="N71" s="372">
        <v>0.125</v>
      </c>
      <c r="O71" s="388">
        <v>2200</v>
      </c>
      <c r="P71" s="375" t="s">
        <v>274</v>
      </c>
      <c r="Q71" s="375"/>
      <c r="R71" s="376"/>
      <c r="S71" s="370">
        <f>VLOOKUP(Table2[[#This Row],[Course Title]],'TSD-Data'!$A$1:$E$70,4,FALSE)</f>
        <v>45</v>
      </c>
      <c r="T71" s="377">
        <f>VLOOKUP(Table2[[#This Row],[Course Title]],'TSD-Data'!$A$1:$F$70,6,FALSE)</f>
        <v>30</v>
      </c>
      <c r="U71" s="378">
        <f>VLOOKUP(Table2[[#This Row],[Course Title]],'TSD-Data'!$A$1:$F$70,5,FALSE)</f>
        <v>4</v>
      </c>
      <c r="V71" s="379">
        <v>366</v>
      </c>
      <c r="W71" s="377"/>
      <c r="X71" s="377"/>
      <c r="Y71" s="378"/>
      <c r="Z71" s="378"/>
      <c r="AA71" s="370"/>
      <c r="AB71" s="370"/>
      <c r="AC71" s="370"/>
      <c r="AD71" s="370"/>
      <c r="AE71" s="378">
        <f ca="1">Table2[[#This Row],[End Date]]+2-TODAY()</f>
        <v>165</v>
      </c>
      <c r="AF71" s="370">
        <f>IF(ISBLANK(Table2[[#This Row],[Roster Received by]]),1,0)</f>
        <v>1</v>
      </c>
      <c r="AG71" s="377">
        <f ca="1">IF(Table2[[#This Row],[Start Date]]&gt;TODAY(),1,)</f>
        <v>1</v>
      </c>
      <c r="AH71" s="377">
        <f>IF(ISBLANK(Table2[[#This Row],[Primary Instructor]]),0,1)</f>
        <v>1</v>
      </c>
      <c r="AI71" s="377">
        <f>IF(ISBLANK(Table2[[#This Row],[Instructor 2]]),0,1)</f>
        <v>0</v>
      </c>
      <c r="AJ71" s="377">
        <f>Table2[[#This Row],[Course Length (Hours)]]/(SUM(Table2[[#This Row],[1]:[2]]))</f>
        <v>30</v>
      </c>
      <c r="AK71" s="370"/>
      <c r="AL71" s="377">
        <v>1</v>
      </c>
      <c r="AM71" s="403" t="str">
        <f>VLOOKUP(Table2[[#This Row],[Course Title]],'TSD-Data'!$A$1:$G$70,7,FALSE)</f>
        <v>N5</v>
      </c>
    </row>
    <row r="72" spans="1:39" s="380" customFormat="1" x14ac:dyDescent="0.25">
      <c r="A72" s="368"/>
      <c r="B72" s="396" t="s">
        <v>120</v>
      </c>
      <c r="C72" s="370" t="str">
        <f>VLOOKUP(Table2[[#This Row],[Course Title]],'TSD-Data'!$A$1:$E$70,2,FALSE)</f>
        <v>A-322-2604</v>
      </c>
      <c r="D72" s="370" t="str">
        <f>VLOOKUP(Table2[[#This Row],[Course Title]],'TSD-Data'!$A$1:$E$70,3,FALSE)</f>
        <v>10ZZ</v>
      </c>
      <c r="E72" s="369" t="s">
        <v>86</v>
      </c>
      <c r="F72" s="371">
        <v>45978</v>
      </c>
      <c r="G72" s="371">
        <v>45980</v>
      </c>
      <c r="H72" s="371" t="s">
        <v>752</v>
      </c>
      <c r="I72" s="372"/>
      <c r="J72" s="381">
        <v>0.5</v>
      </c>
      <c r="K72" s="381">
        <v>0.375</v>
      </c>
      <c r="L72" s="381">
        <v>0.83333333333333337</v>
      </c>
      <c r="M72" s="381">
        <v>0.75</v>
      </c>
      <c r="N72" s="381">
        <v>0.29166666666666669</v>
      </c>
      <c r="O72" s="381">
        <v>8.3333333333333329E-2</v>
      </c>
      <c r="P72" s="375" t="s">
        <v>252</v>
      </c>
      <c r="Q72" s="375"/>
      <c r="R72" s="376"/>
      <c r="S72" s="370">
        <f>VLOOKUP(Table2[[#This Row],[Course Title]],'TSD-Data'!$A$1:$E$70,4,FALSE)</f>
        <v>45</v>
      </c>
      <c r="T72" s="377">
        <f>VLOOKUP(Table2[[#This Row],[Course Title]],'TSD-Data'!$A$1:$F$70,6,FALSE)</f>
        <v>24</v>
      </c>
      <c r="U72" s="378">
        <f>VLOOKUP(Table2[[#This Row],[Course Title]],'TSD-Data'!$A$1:$F$70,5,FALSE)</f>
        <v>3</v>
      </c>
      <c r="V72" s="379">
        <v>621</v>
      </c>
      <c r="W72" s="377"/>
      <c r="X72" s="377"/>
      <c r="Y72" s="378"/>
      <c r="Z72" s="378"/>
      <c r="AA72" s="370"/>
      <c r="AB72" s="370"/>
      <c r="AC72" s="370"/>
      <c r="AD72" s="370"/>
      <c r="AE72" s="378">
        <f ca="1">Table2[[#This Row],[End Date]]+2-TODAY()</f>
        <v>164</v>
      </c>
      <c r="AF72" s="370">
        <f>IF(ISBLANK(Table2[[#This Row],[Roster Received by]]),1,0)</f>
        <v>1</v>
      </c>
      <c r="AG72" s="377">
        <f ca="1">IF(Table2[[#This Row],[Start Date]]&gt;TODAY(),1,)</f>
        <v>1</v>
      </c>
      <c r="AH72" s="377">
        <f>IF(ISBLANK(Table2[[#This Row],[Primary Instructor]]),0,1)</f>
        <v>1</v>
      </c>
      <c r="AI72" s="377">
        <f>IF(ISBLANK(Table2[[#This Row],[Instructor 2]]),0,1)</f>
        <v>0</v>
      </c>
      <c r="AJ72" s="377">
        <f>Table2[[#This Row],[Course Length (Hours)]]/(SUM(Table2[[#This Row],[1]:[2]]))</f>
        <v>24</v>
      </c>
      <c r="AK72" s="370"/>
      <c r="AL72" s="377">
        <v>1</v>
      </c>
      <c r="AM72" s="403" t="str">
        <f>VLOOKUP(Table2[[#This Row],[Course Title]],'TSD-Data'!$A$1:$G$70,7,FALSE)</f>
        <v>N3</v>
      </c>
    </row>
    <row r="73" spans="1:39" s="380" customFormat="1" x14ac:dyDescent="0.25">
      <c r="A73" s="369"/>
      <c r="B73" s="396" t="s">
        <v>51</v>
      </c>
      <c r="C73" s="370" t="str">
        <f>VLOOKUP(Table2[[#This Row],[Course Title]],'TSD-Data'!$A$1:$E$70,2,FALSE)</f>
        <v>A-493-0335</v>
      </c>
      <c r="D73" s="370" t="str">
        <f>VLOOKUP(Table2[[#This Row],[Course Title]],'TSD-Data'!$A$1:$E$70,3,FALSE)</f>
        <v>09ND</v>
      </c>
      <c r="E73" s="369" t="s">
        <v>86</v>
      </c>
      <c r="F73" s="371">
        <v>45978</v>
      </c>
      <c r="G73" s="371">
        <v>45981</v>
      </c>
      <c r="H73" s="371" t="s">
        <v>752</v>
      </c>
      <c r="I73" s="372"/>
      <c r="J73" s="372">
        <v>0.79166666666666663</v>
      </c>
      <c r="K73" s="439">
        <v>0.66666666666666663</v>
      </c>
      <c r="L73" s="381">
        <v>0.125</v>
      </c>
      <c r="M73" s="381">
        <v>4.1666666666666664E-2</v>
      </c>
      <c r="N73" s="381">
        <v>0.58333333333333337</v>
      </c>
      <c r="O73" s="381">
        <v>0.375</v>
      </c>
      <c r="P73" s="375" t="s">
        <v>293</v>
      </c>
      <c r="Q73" s="375"/>
      <c r="R73" s="375"/>
      <c r="S73" s="370">
        <f>VLOOKUP(Table2[[#This Row],[Course Title]],'TSD-Data'!$A$1:$E$70,4,FALSE)</f>
        <v>45</v>
      </c>
      <c r="T73" s="377">
        <f>VLOOKUP(Table2[[#This Row],[Course Title]],'TSD-Data'!$A$1:$F$70,6,FALSE)</f>
        <v>32</v>
      </c>
      <c r="U73" s="378">
        <f>VLOOKUP(Table2[[#This Row],[Course Title]],'TSD-Data'!$A$1:$F$70,5,FALSE)</f>
        <v>4</v>
      </c>
      <c r="V73" s="379">
        <v>119</v>
      </c>
      <c r="W73" s="377"/>
      <c r="X73" s="377"/>
      <c r="Y73" s="379"/>
      <c r="Z73" s="379"/>
      <c r="AA73" s="377"/>
      <c r="AB73" s="377"/>
      <c r="AC73" s="377"/>
      <c r="AD73" s="377"/>
      <c r="AE73" s="379">
        <f ca="1">Table2[[#This Row],[End Date]]+2-TODAY()</f>
        <v>165</v>
      </c>
      <c r="AF73" s="377">
        <f>IF(ISBLANK(Table2[[#This Row],[Roster Received by]]),1,0)</f>
        <v>1</v>
      </c>
      <c r="AG73" s="377">
        <f ca="1">IF(Table2[[#This Row],[Start Date]]&gt;TODAY(),1,)</f>
        <v>1</v>
      </c>
      <c r="AH73" s="377">
        <f>IF(ISBLANK(Table2[[#This Row],[Primary Instructor]]),0,1)</f>
        <v>1</v>
      </c>
      <c r="AI73" s="377">
        <f>IF(ISBLANK(Table2[[#This Row],[Instructor 2]]),0,1)</f>
        <v>0</v>
      </c>
      <c r="AJ73" s="377">
        <f>Table2[[#This Row],[Course Length (Hours)]]/(SUM(Table2[[#This Row],[1]:[2]]))</f>
        <v>32</v>
      </c>
      <c r="AK73" s="377"/>
      <c r="AL73" s="377">
        <v>1</v>
      </c>
      <c r="AM73" s="403" t="str">
        <f>VLOOKUP(Table2[[#This Row],[Course Title]],'TSD-Data'!$A$1:$G$70,7,FALSE)</f>
        <v>N3</v>
      </c>
    </row>
    <row r="74" spans="1:39" s="380" customFormat="1" x14ac:dyDescent="0.25">
      <c r="A74" s="368"/>
      <c r="B74" s="396" t="s">
        <v>59</v>
      </c>
      <c r="C74" s="370" t="str">
        <f>VLOOKUP(Table2[[#This Row],[Course Title]],'TSD-Data'!$A$1:$E$70,2,FALSE)</f>
        <v>A-493-0550</v>
      </c>
      <c r="D74" s="370" t="str">
        <f>VLOOKUP(Table2[[#This Row],[Course Title]],'TSD-Data'!$A$1:$E$70,3,FALSE)</f>
        <v>09K5</v>
      </c>
      <c r="E74" s="369" t="s">
        <v>86</v>
      </c>
      <c r="F74" s="371">
        <v>45978</v>
      </c>
      <c r="G74" s="371">
        <v>45981</v>
      </c>
      <c r="H74" s="371" t="s">
        <v>752</v>
      </c>
      <c r="I74" s="372"/>
      <c r="J74" s="381">
        <v>0.5</v>
      </c>
      <c r="K74" s="381">
        <v>0.375</v>
      </c>
      <c r="L74" s="381">
        <v>0.83333333333333337</v>
      </c>
      <c r="M74" s="381">
        <v>0.75</v>
      </c>
      <c r="N74" s="381">
        <v>0.29166666666666669</v>
      </c>
      <c r="O74" s="381">
        <v>8.3333333333333329E-2</v>
      </c>
      <c r="P74" s="375" t="s">
        <v>272</v>
      </c>
      <c r="Q74" s="375"/>
      <c r="R74" s="376"/>
      <c r="S74" s="370">
        <f>VLOOKUP(Table2[[#This Row],[Course Title]],'TSD-Data'!$A$1:$E$70,4,FALSE)</f>
        <v>45</v>
      </c>
      <c r="T74" s="377">
        <f>VLOOKUP(Table2[[#This Row],[Course Title]],'TSD-Data'!$A$1:$F$70,6,FALSE)</f>
        <v>32</v>
      </c>
      <c r="U74" s="378">
        <f>VLOOKUP(Table2[[#This Row],[Course Title]],'TSD-Data'!$A$1:$F$70,5,FALSE)</f>
        <v>4</v>
      </c>
      <c r="V74" s="379">
        <v>864</v>
      </c>
      <c r="W74" s="377"/>
      <c r="X74" s="377"/>
      <c r="Y74" s="378"/>
      <c r="Z74" s="378"/>
      <c r="AA74" s="370"/>
      <c r="AB74" s="370"/>
      <c r="AC74" s="370"/>
      <c r="AD74" s="370"/>
      <c r="AE74" s="378">
        <f ca="1">Table2[[#This Row],[End Date]]+2-TODAY()</f>
        <v>165</v>
      </c>
      <c r="AF74" s="370">
        <f>IF(ISBLANK(Table2[[#This Row],[Roster Received by]]),1,0)</f>
        <v>1</v>
      </c>
      <c r="AG74" s="377">
        <f ca="1">IF(Table2[[#This Row],[Start Date]]&gt;TODAY(),1,)</f>
        <v>1</v>
      </c>
      <c r="AH74" s="377">
        <f>IF(ISBLANK(Table2[[#This Row],[Primary Instructor]]),0,1)</f>
        <v>1</v>
      </c>
      <c r="AI74" s="377">
        <f>IF(ISBLANK(Table2[[#This Row],[Instructor 2]]),0,1)</f>
        <v>0</v>
      </c>
      <c r="AJ74" s="377">
        <f>Table2[[#This Row],[Course Length (Hours)]]/(SUM(Table2[[#This Row],[1]:[2]]))</f>
        <v>32</v>
      </c>
      <c r="AK74" s="370"/>
      <c r="AL74" s="377">
        <v>1</v>
      </c>
      <c r="AM74" s="403" t="str">
        <f>VLOOKUP(Table2[[#This Row],[Course Title]],'TSD-Data'!$A$1:$G$70,7,FALSE)</f>
        <v>N5</v>
      </c>
    </row>
    <row r="75" spans="1:39" s="380" customFormat="1" x14ac:dyDescent="0.25">
      <c r="A75" s="368"/>
      <c r="B75" s="396" t="s">
        <v>61</v>
      </c>
      <c r="C75" s="370" t="str">
        <f>VLOOKUP(Table2[[#This Row],[Course Title]],'TSD-Data'!$A$1:$E$70,2,FALSE)</f>
        <v>A-493-0078</v>
      </c>
      <c r="D75" s="370">
        <f>VLOOKUP(Table2[[#This Row],[Course Title]],'TSD-Data'!$A$1:$E$70,3,FALSE)</f>
        <v>1228</v>
      </c>
      <c r="E75" s="369" t="s">
        <v>86</v>
      </c>
      <c r="F75" s="371">
        <v>45978</v>
      </c>
      <c r="G75" s="371">
        <v>45981</v>
      </c>
      <c r="H75" s="371" t="s">
        <v>752</v>
      </c>
      <c r="I75" s="372"/>
      <c r="J75" s="372">
        <v>0.33333333333333331</v>
      </c>
      <c r="K75" s="372">
        <v>0.20833333333333334</v>
      </c>
      <c r="L75" s="388">
        <v>1600</v>
      </c>
      <c r="M75" s="388">
        <v>1400</v>
      </c>
      <c r="N75" s="372">
        <v>0.125</v>
      </c>
      <c r="O75" s="388">
        <v>2200</v>
      </c>
      <c r="P75" s="375" t="s">
        <v>256</v>
      </c>
      <c r="Q75" s="375"/>
      <c r="R75" s="376"/>
      <c r="S75" s="370">
        <f>VLOOKUP(Table2[[#This Row],[Course Title]],'TSD-Data'!$A$1:$E$70,4,FALSE)</f>
        <v>45</v>
      </c>
      <c r="T75" s="377">
        <f>VLOOKUP(Table2[[#This Row],[Course Title]],'TSD-Data'!$A$1:$F$70,6,FALSE)</f>
        <v>32</v>
      </c>
      <c r="U75" s="378">
        <f>VLOOKUP(Table2[[#This Row],[Course Title]],'TSD-Data'!$A$1:$F$70,5,FALSE)</f>
        <v>4</v>
      </c>
      <c r="V75" s="379">
        <v>454</v>
      </c>
      <c r="W75" s="377"/>
      <c r="X75" s="377"/>
      <c r="Y75" s="378"/>
      <c r="Z75" s="378"/>
      <c r="AA75" s="370"/>
      <c r="AB75" s="370"/>
      <c r="AC75" s="370"/>
      <c r="AD75" s="370"/>
      <c r="AE75" s="378">
        <f ca="1">Table2[[#This Row],[End Date]]+2-TODAY()</f>
        <v>165</v>
      </c>
      <c r="AF75" s="370">
        <f>IF(ISBLANK(Table2[[#This Row],[Roster Received by]]),1,0)</f>
        <v>1</v>
      </c>
      <c r="AG75" s="377">
        <f ca="1">IF(Table2[[#This Row],[Start Date]]&gt;TODAY(),1,)</f>
        <v>1</v>
      </c>
      <c r="AH75" s="377">
        <f>IF(ISBLANK(Table2[[#This Row],[Primary Instructor]]),0,1)</f>
        <v>1</v>
      </c>
      <c r="AI75" s="377">
        <f>IF(ISBLANK(Table2[[#This Row],[Instructor 2]]),0,1)</f>
        <v>0</v>
      </c>
      <c r="AJ75" s="377">
        <f>Table2[[#This Row],[Course Length (Hours)]]/(SUM(Table2[[#This Row],[1]:[2]]))</f>
        <v>32</v>
      </c>
      <c r="AK75" s="370"/>
      <c r="AL75" s="377">
        <v>1</v>
      </c>
      <c r="AM75" s="403" t="str">
        <f>VLOOKUP(Table2[[#This Row],[Course Title]],'TSD-Data'!$A$1:$G$70,7,FALSE)</f>
        <v>N5</v>
      </c>
    </row>
    <row r="76" spans="1:39" s="380" customFormat="1" x14ac:dyDescent="0.25">
      <c r="A76" s="368"/>
      <c r="B76" s="396" t="s">
        <v>52</v>
      </c>
      <c r="C76" s="370" t="str">
        <f>VLOOKUP(Table2[[#This Row],[Course Title]],'TSD-Data'!$A$1:$E$70,2,FALSE)</f>
        <v>A-493-0085</v>
      </c>
      <c r="D76" s="370">
        <f>VLOOKUP(Table2[[#This Row],[Course Title]],'TSD-Data'!$A$1:$E$70,3,FALSE)</f>
        <v>3555</v>
      </c>
      <c r="E76" s="432" t="s">
        <v>86</v>
      </c>
      <c r="F76" s="437">
        <v>45978</v>
      </c>
      <c r="G76" s="437">
        <v>45981</v>
      </c>
      <c r="H76" s="371" t="s">
        <v>752</v>
      </c>
      <c r="I76" s="372"/>
      <c r="J76" s="381">
        <v>0.5</v>
      </c>
      <c r="K76" s="381">
        <v>0.375</v>
      </c>
      <c r="L76" s="381">
        <v>0.83333333333333337</v>
      </c>
      <c r="M76" s="381">
        <v>0.75</v>
      </c>
      <c r="N76" s="381">
        <v>0.29166666666666669</v>
      </c>
      <c r="O76" s="381">
        <v>8.3333333333333329E-2</v>
      </c>
      <c r="P76" s="375" t="s">
        <v>293</v>
      </c>
      <c r="Q76" s="375"/>
      <c r="R76" s="376"/>
      <c r="S76" s="370">
        <f>VLOOKUP(Table2[[#This Row],[Course Title]],'TSD-Data'!$A$1:$E$70,4,FALSE)</f>
        <v>45</v>
      </c>
      <c r="T76" s="377">
        <f>VLOOKUP(Table2[[#This Row],[Course Title]],'TSD-Data'!$A$1:$F$70,6,FALSE)</f>
        <v>32</v>
      </c>
      <c r="U76" s="378">
        <f>VLOOKUP(Table2[[#This Row],[Course Title]],'TSD-Data'!$A$1:$F$70,5,FALSE)</f>
        <v>4</v>
      </c>
      <c r="V76" s="379">
        <v>688</v>
      </c>
      <c r="W76" s="377"/>
      <c r="X76" s="377"/>
      <c r="Y76" s="378"/>
      <c r="Z76" s="378"/>
      <c r="AA76" s="370"/>
      <c r="AB76" s="370"/>
      <c r="AC76" s="370"/>
      <c r="AD76" s="370"/>
      <c r="AE76" s="378">
        <f ca="1">Table2[[#This Row],[End Date]]+2-TODAY()</f>
        <v>165</v>
      </c>
      <c r="AF76" s="370">
        <f>IF(ISBLANK(Table2[[#This Row],[Roster Received by]]),1,0)</f>
        <v>1</v>
      </c>
      <c r="AG76" s="377">
        <f ca="1">IF(Table2[[#This Row],[Start Date]]&gt;TODAY(),1,)</f>
        <v>1</v>
      </c>
      <c r="AH76" s="377">
        <f>IF(ISBLANK(Table2[[#This Row],[Primary Instructor]]),0,1)</f>
        <v>1</v>
      </c>
      <c r="AI76" s="377">
        <f>IF(ISBLANK(Table2[[#This Row],[Instructor 2]]),0,1)</f>
        <v>0</v>
      </c>
      <c r="AJ76" s="377">
        <f>Table2[[#This Row],[Course Length (Hours)]]/(SUM(Table2[[#This Row],[1]:[2]]))</f>
        <v>32</v>
      </c>
      <c r="AK76" s="370"/>
      <c r="AL76" s="377">
        <v>1</v>
      </c>
      <c r="AM76" s="403" t="str">
        <f>VLOOKUP(Table2[[#This Row],[Course Title]],'TSD-Data'!$A$1:$G$70,7,FALSE)</f>
        <v>N3</v>
      </c>
    </row>
    <row r="77" spans="1:39" s="380" customFormat="1" x14ac:dyDescent="0.25">
      <c r="A77" s="368"/>
      <c r="B77" s="396" t="s">
        <v>39</v>
      </c>
      <c r="C77" s="370" t="str">
        <f>VLOOKUP(Table2[[#This Row],[Course Title]],'TSD-Data'!$A$1:$E$70,2,FALSE)</f>
        <v>A-570-0100</v>
      </c>
      <c r="D77" s="370" t="str">
        <f>VLOOKUP(Table2[[#This Row],[Course Title]],'TSD-Data'!$A$1:$E$70,3,FALSE)</f>
        <v>18B7</v>
      </c>
      <c r="E77" s="369" t="s">
        <v>86</v>
      </c>
      <c r="F77" s="371">
        <v>45978</v>
      </c>
      <c r="G77" s="371">
        <v>45979</v>
      </c>
      <c r="H77" s="371" t="s">
        <v>752</v>
      </c>
      <c r="I77" s="372"/>
      <c r="J77" s="372">
        <v>0.79166666666666663</v>
      </c>
      <c r="K77" s="381">
        <v>0.66666666666666663</v>
      </c>
      <c r="L77" s="381">
        <v>0.125</v>
      </c>
      <c r="M77" s="381">
        <v>4.1666666666666664E-2</v>
      </c>
      <c r="N77" s="381">
        <v>0.58333333333333337</v>
      </c>
      <c r="O77" s="381">
        <v>0.375</v>
      </c>
      <c r="P77" s="375" t="s">
        <v>232</v>
      </c>
      <c r="Q77" s="375"/>
      <c r="R77" s="376"/>
      <c r="S77" s="370">
        <f>VLOOKUP(Table2[[#This Row],[Course Title]],'TSD-Data'!$A$1:$E$70,4,FALSE)</f>
        <v>45</v>
      </c>
      <c r="T77" s="377">
        <f>VLOOKUP(Table2[[#This Row],[Course Title]],'TSD-Data'!$A$1:$F$70,6,FALSE)</f>
        <v>16</v>
      </c>
      <c r="U77" s="378">
        <f>VLOOKUP(Table2[[#This Row],[Course Title]],'TSD-Data'!$A$1:$F$70,5,FALSE)</f>
        <v>2</v>
      </c>
      <c r="V77" s="379">
        <v>126</v>
      </c>
      <c r="W77" s="377"/>
      <c r="X77" s="377"/>
      <c r="Y77" s="378"/>
      <c r="Z77" s="378"/>
      <c r="AA77" s="370"/>
      <c r="AB77" s="370"/>
      <c r="AC77" s="370"/>
      <c r="AD77" s="370"/>
      <c r="AE77" s="378">
        <f ca="1">Table2[[#This Row],[End Date]]+2-TODAY()</f>
        <v>163</v>
      </c>
      <c r="AF77" s="370">
        <f>IF(ISBLANK(Table2[[#This Row],[Roster Received by]]),1,0)</f>
        <v>1</v>
      </c>
      <c r="AG77" s="377">
        <f ca="1">IF(Table2[[#This Row],[Start Date]]&gt;TODAY(),1,)</f>
        <v>1</v>
      </c>
      <c r="AH77" s="377">
        <f>IF(ISBLANK(Table2[[#This Row],[Primary Instructor]]),0,1)</f>
        <v>1</v>
      </c>
      <c r="AI77" s="377">
        <f>IF(ISBLANK(Table2[[#This Row],[Instructor 2]]),0,1)</f>
        <v>0</v>
      </c>
      <c r="AJ77" s="377">
        <f>Table2[[#This Row],[Course Length (Hours)]]/(SUM(Table2[[#This Row],[1]:[2]]))</f>
        <v>16</v>
      </c>
      <c r="AK77" s="370"/>
      <c r="AL77" s="377">
        <v>1</v>
      </c>
      <c r="AM77" s="403" t="str">
        <f>VLOOKUP(Table2[[#This Row],[Course Title]],'TSD-Data'!$A$1:$G$70,7,FALSE)</f>
        <v>N5</v>
      </c>
    </row>
    <row r="78" spans="1:39" s="380" customFormat="1" x14ac:dyDescent="0.25">
      <c r="A78" s="368"/>
      <c r="B78" s="396" t="s">
        <v>53</v>
      </c>
      <c r="C78" s="370" t="str">
        <f>VLOOKUP(Table2[[#This Row],[Course Title]],'TSD-Data'!$A$1:$E$70,2,FALSE)</f>
        <v>A-493-0072</v>
      </c>
      <c r="D78" s="370" t="str">
        <f>VLOOKUP(Table2[[#This Row],[Course Title]],'TSD-Data'!$A$1:$E$70,3,FALSE)</f>
        <v>713U</v>
      </c>
      <c r="E78" s="369" t="s">
        <v>167</v>
      </c>
      <c r="F78" s="371">
        <v>45978</v>
      </c>
      <c r="G78" s="371">
        <v>45982</v>
      </c>
      <c r="H78" s="371" t="s">
        <v>752</v>
      </c>
      <c r="I78" s="372">
        <v>0.33333333333333331</v>
      </c>
      <c r="J78" s="372"/>
      <c r="K78" s="371"/>
      <c r="L78" s="371"/>
      <c r="M78" s="371"/>
      <c r="N78" s="371"/>
      <c r="O78" s="371"/>
      <c r="P78" s="375" t="s">
        <v>238</v>
      </c>
      <c r="Q78" s="375"/>
      <c r="R78" s="376" t="s">
        <v>244</v>
      </c>
      <c r="S78" s="370">
        <f>VLOOKUP(Table2[[#This Row],[Course Title]],'TSD-Data'!$A$1:$E$70,4,FALSE)</f>
        <v>30</v>
      </c>
      <c r="T78" s="377">
        <f>VLOOKUP(Table2[[#This Row],[Course Title]],'TSD-Data'!$A$1:$F$70,6,FALSE)</f>
        <v>40</v>
      </c>
      <c r="U78" s="378">
        <f>VLOOKUP(Table2[[#This Row],[Course Title]],'TSD-Data'!$A$1:$F$70,5,FALSE)</f>
        <v>5</v>
      </c>
      <c r="V78" s="379">
        <v>33</v>
      </c>
      <c r="W78" s="377"/>
      <c r="X78" s="377"/>
      <c r="Y78" s="378"/>
      <c r="Z78" s="378"/>
      <c r="AA78" s="370"/>
      <c r="AB78" s="370"/>
      <c r="AC78" s="370"/>
      <c r="AD78" s="370"/>
      <c r="AE78" s="378">
        <f ca="1">Table2[[#This Row],[End Date]]+2-TODAY()</f>
        <v>166</v>
      </c>
      <c r="AF78" s="370">
        <f>IF(ISBLANK(Table2[[#This Row],[Roster Received by]]),1,0)</f>
        <v>1</v>
      </c>
      <c r="AG78" s="377">
        <f ca="1">IF(Table2[[#This Row],[Start Date]]&gt;TODAY(),1,)</f>
        <v>1</v>
      </c>
      <c r="AH78" s="377">
        <f>IF(ISBLANK(Table2[[#This Row],[Primary Instructor]]),0,1)</f>
        <v>1</v>
      </c>
      <c r="AI78" s="377">
        <f>IF(ISBLANK(Table2[[#This Row],[Instructor 2]]),0,1)</f>
        <v>0</v>
      </c>
      <c r="AJ78" s="377">
        <f>Table2[[#This Row],[Course Length (Hours)]]/(SUM(Table2[[#This Row],[1]:[2]]))</f>
        <v>40</v>
      </c>
      <c r="AK78" s="370"/>
      <c r="AL78" s="377">
        <v>1</v>
      </c>
      <c r="AM78" s="403" t="str">
        <f>VLOOKUP(Table2[[#This Row],[Course Title]],'TSD-Data'!$A$1:$G$70,7,FALSE)</f>
        <v>N3</v>
      </c>
    </row>
    <row r="79" spans="1:39" s="380" customFormat="1" x14ac:dyDescent="0.25">
      <c r="A79" s="368"/>
      <c r="B79" s="396" t="s">
        <v>334</v>
      </c>
      <c r="C79" s="370" t="str">
        <f>VLOOKUP(Table2[[#This Row],[Course Title]],'TSD-Data'!$A$1:$E$70,2,FALSE)</f>
        <v>A-493-2099</v>
      </c>
      <c r="D79" s="370" t="str">
        <f>VLOOKUP(Table2[[#This Row],[Course Title]],'TSD-Data'!$A$1:$E$70,3,FALSE)</f>
        <v>438G</v>
      </c>
      <c r="E79" s="369" t="s">
        <v>167</v>
      </c>
      <c r="F79" s="371">
        <v>45979</v>
      </c>
      <c r="G79" s="371">
        <v>45980</v>
      </c>
      <c r="H79" s="371" t="s">
        <v>752</v>
      </c>
      <c r="I79" s="372">
        <v>0.33333333333333331</v>
      </c>
      <c r="J79" s="372"/>
      <c r="K79" s="393"/>
      <c r="L79" s="371"/>
      <c r="M79" s="371"/>
      <c r="N79" s="371"/>
      <c r="O79" s="371"/>
      <c r="P79" s="375" t="s">
        <v>244</v>
      </c>
      <c r="Q79" s="375"/>
      <c r="R79" s="376"/>
      <c r="S79" s="370">
        <f>VLOOKUP(Table2[[#This Row],[Course Title]],'TSD-Data'!$A$1:$E$70,4,FALSE)</f>
        <v>30</v>
      </c>
      <c r="T79" s="377">
        <f>VLOOKUP(Table2[[#This Row],[Course Title]],'TSD-Data'!$A$1:$F$70,6,FALSE)</f>
        <v>16</v>
      </c>
      <c r="U79" s="378">
        <f>VLOOKUP(Table2[[#This Row],[Course Title]],'TSD-Data'!$A$1:$F$70,5,FALSE)</f>
        <v>2</v>
      </c>
      <c r="V79" s="379">
        <v>0</v>
      </c>
      <c r="W79" s="377"/>
      <c r="X79" s="377"/>
      <c r="Y79" s="378"/>
      <c r="Z79" s="378"/>
      <c r="AA79" s="370"/>
      <c r="AB79" s="370"/>
      <c r="AC79" s="370"/>
      <c r="AD79" s="370"/>
      <c r="AE79" s="378">
        <f ca="1">Table2[[#This Row],[End Date]]+2-TODAY()</f>
        <v>164</v>
      </c>
      <c r="AF79" s="370">
        <f>IF(ISBLANK(Table2[[#This Row],[Roster Received by]]),1,0)</f>
        <v>1</v>
      </c>
      <c r="AG79" s="377">
        <f ca="1">IF(Table2[[#This Row],[Start Date]]&gt;TODAY(),1,)</f>
        <v>1</v>
      </c>
      <c r="AH79" s="377">
        <f>IF(ISBLANK(Table2[[#This Row],[Primary Instructor]]),0,1)</f>
        <v>1</v>
      </c>
      <c r="AI79" s="377">
        <f>IF(ISBLANK(Table2[[#This Row],[Instructor 2]]),0,1)</f>
        <v>0</v>
      </c>
      <c r="AJ79" s="377">
        <f>Table2[[#This Row],[Course Length (Hours)]]/(SUM(Table2[[#This Row],[1]:[2]]))</f>
        <v>16</v>
      </c>
      <c r="AK79" s="370"/>
      <c r="AL79" s="377">
        <v>1</v>
      </c>
      <c r="AM79" s="403" t="str">
        <f>VLOOKUP(Table2[[#This Row],[Course Title]],'TSD-Data'!$A$1:$G$70,7,FALSE)</f>
        <v>N1</v>
      </c>
    </row>
    <row r="80" spans="1:39" s="380" customFormat="1" x14ac:dyDescent="0.25">
      <c r="A80" s="368"/>
      <c r="B80" s="396" t="s">
        <v>57</v>
      </c>
      <c r="C80" s="370" t="str">
        <f>VLOOKUP(Table2[[#This Row],[Course Title]],'TSD-Data'!$A$1:$E$70,2,FALSE)</f>
        <v>A-493-0099</v>
      </c>
      <c r="D80" s="370" t="str">
        <f>VLOOKUP(Table2[[#This Row],[Course Title]],'TSD-Data'!$A$1:$E$70,3,FALSE)</f>
        <v>12JW</v>
      </c>
      <c r="E80" s="369" t="s">
        <v>86</v>
      </c>
      <c r="F80" s="371">
        <v>45980</v>
      </c>
      <c r="G80" s="371">
        <v>45982</v>
      </c>
      <c r="H80" s="371" t="s">
        <v>752</v>
      </c>
      <c r="I80" s="372"/>
      <c r="J80" s="372">
        <v>0.33333333333333331</v>
      </c>
      <c r="K80" s="372">
        <v>0.20833333333333334</v>
      </c>
      <c r="L80" s="388">
        <v>1600</v>
      </c>
      <c r="M80" s="388">
        <v>1400</v>
      </c>
      <c r="N80" s="372">
        <v>0.125</v>
      </c>
      <c r="O80" s="388">
        <v>2200</v>
      </c>
      <c r="P80" s="375" t="s">
        <v>277</v>
      </c>
      <c r="Q80" s="375"/>
      <c r="R80" s="376"/>
      <c r="S80" s="370">
        <f>VLOOKUP(Table2[[#This Row],[Course Title]],'TSD-Data'!$A$1:$E$70,4,FALSE)</f>
        <v>45</v>
      </c>
      <c r="T80" s="377">
        <f>VLOOKUP(Table2[[#This Row],[Course Title]],'TSD-Data'!$A$1:$F$70,6,FALSE)</f>
        <v>24</v>
      </c>
      <c r="U80" s="378">
        <f>VLOOKUP(Table2[[#This Row],[Course Title]],'TSD-Data'!$A$1:$F$70,5,FALSE)</f>
        <v>3</v>
      </c>
      <c r="V80" s="379">
        <v>334</v>
      </c>
      <c r="W80" s="377"/>
      <c r="X80" s="377"/>
      <c r="Y80" s="378"/>
      <c r="Z80" s="378"/>
      <c r="AA80" s="370"/>
      <c r="AB80" s="370"/>
      <c r="AC80" s="370"/>
      <c r="AD80" s="370"/>
      <c r="AE80" s="378">
        <f ca="1">Table2[[#This Row],[End Date]]+2-TODAY()</f>
        <v>166</v>
      </c>
      <c r="AF80" s="370">
        <f>IF(ISBLANK(Table2[[#This Row],[Roster Received by]]),1,0)</f>
        <v>1</v>
      </c>
      <c r="AG80" s="377">
        <f ca="1">IF(Table2[[#This Row],[Start Date]]&gt;TODAY(),1,)</f>
        <v>1</v>
      </c>
      <c r="AH80" s="377">
        <f>IF(ISBLANK(Table2[[#This Row],[Primary Instructor]]),0,1)</f>
        <v>1</v>
      </c>
      <c r="AI80" s="377">
        <f>IF(ISBLANK(Table2[[#This Row],[Instructor 2]]),0,1)</f>
        <v>0</v>
      </c>
      <c r="AJ80" s="377">
        <f>Table2[[#This Row],[Course Length (Hours)]]/(SUM(Table2[[#This Row],[1]:[2]]))</f>
        <v>24</v>
      </c>
      <c r="AK80" s="370"/>
      <c r="AL80" s="377">
        <v>1</v>
      </c>
      <c r="AM80" s="403" t="str">
        <f>VLOOKUP(Table2[[#This Row],[Course Title]],'TSD-Data'!$A$1:$G$70,7,FALSE)</f>
        <v>N5</v>
      </c>
    </row>
    <row r="81" spans="1:39" s="380" customFormat="1" x14ac:dyDescent="0.25">
      <c r="A81" s="384" t="s">
        <v>470</v>
      </c>
      <c r="B81" s="478" t="s">
        <v>358</v>
      </c>
      <c r="C81" s="370" t="str">
        <f>VLOOKUP(Table2[[#This Row],[Course Title]],'TSD-Data'!$A$1:$E$70,2,FALSE)</f>
        <v>Function</v>
      </c>
      <c r="D81" s="370" t="str">
        <f>VLOOKUP(Table2[[#This Row],[Course Title]],'TSD-Data'!$A$1:$E$70,3,FALSE)</f>
        <v>Function</v>
      </c>
      <c r="E81" s="386" t="s">
        <v>169</v>
      </c>
      <c r="F81" s="485">
        <v>45986</v>
      </c>
      <c r="G81" s="485">
        <v>45986</v>
      </c>
      <c r="H81" s="371" t="s">
        <v>788</v>
      </c>
      <c r="I81" s="388"/>
      <c r="J81" s="388"/>
      <c r="K81" s="388"/>
      <c r="L81" s="388"/>
      <c r="M81" s="388"/>
      <c r="N81" s="388"/>
      <c r="O81" s="388"/>
      <c r="P81" s="386" t="s">
        <v>322</v>
      </c>
      <c r="Q81" s="386"/>
      <c r="R81" s="386"/>
      <c r="S81" s="370">
        <f>VLOOKUP(Table2[[#This Row],[Course Title]],'TSD-Data'!$A$1:$E$70,4,FALSE)</f>
        <v>0</v>
      </c>
      <c r="T81" s="377">
        <f>VLOOKUP(Table2[[#This Row],[Course Title]],'TSD-Data'!$A$1:$F$70,6,FALSE)</f>
        <v>0</v>
      </c>
      <c r="U81" s="378">
        <f>VLOOKUP(Table2[[#This Row],[Course Title]],'TSD-Data'!$A$1:$F$70,5,FALSE)</f>
        <v>0</v>
      </c>
      <c r="V81" s="389">
        <v>0</v>
      </c>
      <c r="W81" s="388">
        <v>0</v>
      </c>
      <c r="X81" s="388">
        <v>0</v>
      </c>
      <c r="Y81" s="388">
        <v>0</v>
      </c>
      <c r="Z81" s="388">
        <v>0</v>
      </c>
      <c r="AA81" s="388">
        <v>0</v>
      </c>
      <c r="AB81" s="388">
        <v>0</v>
      </c>
      <c r="AC81" s="388">
        <v>0</v>
      </c>
      <c r="AD81" s="388" t="s">
        <v>247</v>
      </c>
      <c r="AE81" s="379">
        <f ca="1">Table2[[#This Row],[End Date]]+2-TODAY()</f>
        <v>170</v>
      </c>
      <c r="AF81" s="388">
        <v>0</v>
      </c>
      <c r="AG81" s="388">
        <v>0</v>
      </c>
      <c r="AH81" s="388">
        <v>0</v>
      </c>
      <c r="AI81" s="388">
        <v>0</v>
      </c>
      <c r="AJ81" s="388" t="e">
        <v>#DIV/0!</v>
      </c>
      <c r="AK81" s="388">
        <v>0</v>
      </c>
      <c r="AL81" s="377">
        <v>1</v>
      </c>
      <c r="AM81" s="403" t="str">
        <f>VLOOKUP(Table2[[#This Row],[Course Title]],'TSD-Data'!$A$1:$G$70,7,FALSE)</f>
        <v>TSD</v>
      </c>
    </row>
    <row r="82" spans="1:39" s="380" customFormat="1" x14ac:dyDescent="0.25">
      <c r="A82" s="384" t="s">
        <v>479</v>
      </c>
      <c r="B82" s="478" t="s">
        <v>181</v>
      </c>
      <c r="C82" s="370" t="str">
        <f>VLOOKUP(Table2[[#This Row],[Course Title]],'TSD-Data'!$A$1:$E$70,2,FALSE)</f>
        <v>Holiday</v>
      </c>
      <c r="D82" s="370" t="str">
        <f>VLOOKUP(Table2[[#This Row],[Course Title]],'TSD-Data'!$A$1:$E$70,3,FALSE)</f>
        <v>Holiday</v>
      </c>
      <c r="E82" s="386" t="s">
        <v>181</v>
      </c>
      <c r="F82" s="387">
        <v>45988</v>
      </c>
      <c r="G82" s="387">
        <v>45988</v>
      </c>
      <c r="H82" s="371" t="s">
        <v>788</v>
      </c>
      <c r="I82" s="388"/>
      <c r="J82" s="388"/>
      <c r="K82" s="388"/>
      <c r="L82" s="388"/>
      <c r="M82" s="388"/>
      <c r="N82" s="388"/>
      <c r="O82" s="388"/>
      <c r="P82" s="386" t="s">
        <v>322</v>
      </c>
      <c r="Q82" s="386"/>
      <c r="R82" s="386"/>
      <c r="S82" s="370">
        <f>VLOOKUP(Table2[[#This Row],[Course Title]],'TSD-Data'!$A$1:$E$70,4,FALSE)</f>
        <v>0</v>
      </c>
      <c r="T82" s="377">
        <f>VLOOKUP(Table2[[#This Row],[Course Title]],'TSD-Data'!$A$1:$F$70,6,FALSE)</f>
        <v>0</v>
      </c>
      <c r="U82" s="378">
        <f>VLOOKUP(Table2[[#This Row],[Course Title]],'TSD-Data'!$A$1:$F$70,5,FALSE)</f>
        <v>0</v>
      </c>
      <c r="V82" s="389">
        <v>0</v>
      </c>
      <c r="W82" s="388">
        <v>0</v>
      </c>
      <c r="X82" s="388">
        <v>0</v>
      </c>
      <c r="Y82" s="388">
        <v>0</v>
      </c>
      <c r="Z82" s="388">
        <v>0</v>
      </c>
      <c r="AA82" s="388">
        <v>0</v>
      </c>
      <c r="AB82" s="388">
        <v>0</v>
      </c>
      <c r="AC82" s="388">
        <v>0</v>
      </c>
      <c r="AD82" s="388" t="s">
        <v>247</v>
      </c>
      <c r="AE82" s="379">
        <f ca="1">Table2[[#This Row],[End Date]]+2-TODAY()</f>
        <v>172</v>
      </c>
      <c r="AF82" s="388">
        <v>0</v>
      </c>
      <c r="AG82" s="388">
        <v>0</v>
      </c>
      <c r="AH82" s="388">
        <v>0</v>
      </c>
      <c r="AI82" s="388">
        <v>0</v>
      </c>
      <c r="AJ82" s="388" t="e">
        <v>#DIV/0!</v>
      </c>
      <c r="AK82" s="388">
        <v>0</v>
      </c>
      <c r="AL82" s="377">
        <v>1</v>
      </c>
      <c r="AM82" s="403" t="str">
        <f>VLOOKUP(Table2[[#This Row],[Course Title]],'TSD-Data'!$A$1:$G$70,7,FALSE)</f>
        <v>TSD</v>
      </c>
    </row>
    <row r="83" spans="1:39" s="380" customFormat="1" x14ac:dyDescent="0.25">
      <c r="A83" s="368"/>
      <c r="B83" s="396" t="s">
        <v>38</v>
      </c>
      <c r="C83" s="370" t="str">
        <f>VLOOKUP(Table2[[#This Row],[Course Title]],'TSD-Data'!$A$1:$E$70,2,FALSE)</f>
        <v>A-493-0061</v>
      </c>
      <c r="D83" s="370" t="str">
        <f>VLOOKUP(Table2[[#This Row],[Course Title]],'TSD-Data'!$A$1:$E$70,3,FALSE)</f>
        <v>288E</v>
      </c>
      <c r="E83" s="369" t="s">
        <v>86</v>
      </c>
      <c r="F83" s="371">
        <v>45992</v>
      </c>
      <c r="G83" s="371">
        <v>45995</v>
      </c>
      <c r="H83" s="371" t="s">
        <v>752</v>
      </c>
      <c r="I83" s="372"/>
      <c r="J83" s="381">
        <v>0.5</v>
      </c>
      <c r="K83" s="439">
        <v>0.375</v>
      </c>
      <c r="L83" s="381">
        <v>0.83333333333333337</v>
      </c>
      <c r="M83" s="381">
        <v>0.75</v>
      </c>
      <c r="N83" s="381">
        <v>0.29166666666666669</v>
      </c>
      <c r="O83" s="381">
        <v>8.3333333333333329E-2</v>
      </c>
      <c r="P83" s="375" t="s">
        <v>274</v>
      </c>
      <c r="Q83" s="375"/>
      <c r="R83" s="376"/>
      <c r="S83" s="370">
        <f>VLOOKUP(Table2[[#This Row],[Course Title]],'TSD-Data'!$A$1:$E$70,4,FALSE)</f>
        <v>45</v>
      </c>
      <c r="T83" s="377">
        <f>VLOOKUP(Table2[[#This Row],[Course Title]],'TSD-Data'!$A$1:$F$70,6,FALSE)</f>
        <v>30</v>
      </c>
      <c r="U83" s="378">
        <f>VLOOKUP(Table2[[#This Row],[Course Title]],'TSD-Data'!$A$1:$F$70,5,FALSE)</f>
        <v>4</v>
      </c>
      <c r="V83" s="379">
        <v>620</v>
      </c>
      <c r="W83" s="377"/>
      <c r="X83" s="377"/>
      <c r="Y83" s="378"/>
      <c r="Z83" s="378"/>
      <c r="AA83" s="370"/>
      <c r="AB83" s="370"/>
      <c r="AC83" s="370"/>
      <c r="AD83" s="370"/>
      <c r="AE83" s="378">
        <f ca="1">Table2[[#This Row],[End Date]]+2-TODAY()</f>
        <v>179</v>
      </c>
      <c r="AF83" s="370">
        <f>IF(ISBLANK(Table2[[#This Row],[Roster Received by]]),1,0)</f>
        <v>1</v>
      </c>
      <c r="AG83" s="377">
        <f ca="1">IF(Table2[[#This Row],[Start Date]]&gt;TODAY(),1,)</f>
        <v>1</v>
      </c>
      <c r="AH83" s="377">
        <f>IF(ISBLANK(Table2[[#This Row],[Primary Instructor]]),0,1)</f>
        <v>1</v>
      </c>
      <c r="AI83" s="377">
        <f>IF(ISBLANK(Table2[[#This Row],[Instructor 2]]),0,1)</f>
        <v>0</v>
      </c>
      <c r="AJ83" s="377">
        <f>Table2[[#This Row],[Course Length (Hours)]]/(SUM(Table2[[#This Row],[1]:[2]]))</f>
        <v>30</v>
      </c>
      <c r="AK83" s="370"/>
      <c r="AL83" s="377">
        <v>1</v>
      </c>
      <c r="AM83" s="403" t="str">
        <f>VLOOKUP(Table2[[#This Row],[Course Title]],'TSD-Data'!$A$1:$G$70,7,FALSE)</f>
        <v>N5</v>
      </c>
    </row>
    <row r="84" spans="1:39" s="380" customFormat="1" x14ac:dyDescent="0.25">
      <c r="A84" s="368"/>
      <c r="B84" s="396" t="s">
        <v>120</v>
      </c>
      <c r="C84" s="370" t="str">
        <f>VLOOKUP(Table2[[#This Row],[Course Title]],'TSD-Data'!$A$1:$E$70,2,FALSE)</f>
        <v>A-322-2604</v>
      </c>
      <c r="D84" s="370" t="str">
        <f>VLOOKUP(Table2[[#This Row],[Course Title]],'TSD-Data'!$A$1:$E$70,3,FALSE)</f>
        <v>10ZZ</v>
      </c>
      <c r="E84" s="369" t="s">
        <v>86</v>
      </c>
      <c r="F84" s="371">
        <v>45992</v>
      </c>
      <c r="G84" s="371">
        <v>45994</v>
      </c>
      <c r="H84" s="371" t="s">
        <v>752</v>
      </c>
      <c r="I84" s="372"/>
      <c r="J84" s="381">
        <v>0.5</v>
      </c>
      <c r="K84" s="394">
        <v>0.375</v>
      </c>
      <c r="L84" s="381">
        <v>0.83333333333333337</v>
      </c>
      <c r="M84" s="381">
        <v>0.75</v>
      </c>
      <c r="N84" s="381">
        <v>0.29166666666666669</v>
      </c>
      <c r="O84" s="381">
        <v>8.3333333333333329E-2</v>
      </c>
      <c r="P84" s="375" t="s">
        <v>252</v>
      </c>
      <c r="Q84" s="375"/>
      <c r="R84" s="376"/>
      <c r="S84" s="370">
        <f>VLOOKUP(Table2[[#This Row],[Course Title]],'TSD-Data'!$A$1:$E$70,4,FALSE)</f>
        <v>45</v>
      </c>
      <c r="T84" s="377">
        <f>VLOOKUP(Table2[[#This Row],[Course Title]],'TSD-Data'!$A$1:$F$70,6,FALSE)</f>
        <v>24</v>
      </c>
      <c r="U84" s="378">
        <f>VLOOKUP(Table2[[#This Row],[Course Title]],'TSD-Data'!$A$1:$F$70,5,FALSE)</f>
        <v>3</v>
      </c>
      <c r="V84" s="379">
        <v>621</v>
      </c>
      <c r="W84" s="377"/>
      <c r="X84" s="377"/>
      <c r="Y84" s="378"/>
      <c r="Z84" s="378"/>
      <c r="AA84" s="370"/>
      <c r="AB84" s="370"/>
      <c r="AC84" s="370"/>
      <c r="AD84" s="370"/>
      <c r="AE84" s="378">
        <f ca="1">Table2[[#This Row],[End Date]]+2-TODAY()</f>
        <v>178</v>
      </c>
      <c r="AF84" s="370">
        <f>IF(ISBLANK(Table2[[#This Row],[Roster Received by]]),1,0)</f>
        <v>1</v>
      </c>
      <c r="AG84" s="377">
        <f ca="1">IF(Table2[[#This Row],[Start Date]]&gt;TODAY(),1,)</f>
        <v>1</v>
      </c>
      <c r="AH84" s="377">
        <f>IF(ISBLANK(Table2[[#This Row],[Primary Instructor]]),0,1)</f>
        <v>1</v>
      </c>
      <c r="AI84" s="377">
        <f>IF(ISBLANK(Table2[[#This Row],[Instructor 2]]),0,1)</f>
        <v>0</v>
      </c>
      <c r="AJ84" s="377">
        <f>Table2[[#This Row],[Course Length (Hours)]]/(SUM(Table2[[#This Row],[1]:[2]]))</f>
        <v>24</v>
      </c>
      <c r="AK84" s="370"/>
      <c r="AL84" s="377">
        <v>1</v>
      </c>
      <c r="AM84" s="403" t="str">
        <f>VLOOKUP(Table2[[#This Row],[Course Title]],'TSD-Data'!$A$1:$G$70,7,FALSE)</f>
        <v>N3</v>
      </c>
    </row>
    <row r="85" spans="1:39" s="380" customFormat="1" x14ac:dyDescent="0.25">
      <c r="A85" s="368"/>
      <c r="B85" s="396" t="s">
        <v>59</v>
      </c>
      <c r="C85" s="370" t="str">
        <f>VLOOKUP(Table2[[#This Row],[Course Title]],'TSD-Data'!$A$1:$E$70,2,FALSE)</f>
        <v>A-493-0550</v>
      </c>
      <c r="D85" s="370" t="str">
        <f>VLOOKUP(Table2[[#This Row],[Course Title]],'TSD-Data'!$A$1:$E$70,3,FALSE)</f>
        <v>09K5</v>
      </c>
      <c r="E85" s="369" t="s">
        <v>86</v>
      </c>
      <c r="F85" s="371">
        <v>45992</v>
      </c>
      <c r="G85" s="371">
        <v>45995</v>
      </c>
      <c r="H85" s="371" t="s">
        <v>752</v>
      </c>
      <c r="I85" s="372"/>
      <c r="J85" s="372">
        <v>0.33333333333333331</v>
      </c>
      <c r="K85" s="372">
        <v>0.20833333333333334</v>
      </c>
      <c r="L85" s="388">
        <v>1600</v>
      </c>
      <c r="M85" s="388">
        <v>1400</v>
      </c>
      <c r="N85" s="372">
        <v>0.125</v>
      </c>
      <c r="O85" s="388">
        <v>2200</v>
      </c>
      <c r="P85" s="375" t="s">
        <v>272</v>
      </c>
      <c r="Q85" s="375"/>
      <c r="R85" s="376"/>
      <c r="S85" s="370">
        <f>VLOOKUP(Table2[[#This Row],[Course Title]],'TSD-Data'!$A$1:$E$70,4,FALSE)</f>
        <v>45</v>
      </c>
      <c r="T85" s="377">
        <f>VLOOKUP(Table2[[#This Row],[Course Title]],'TSD-Data'!$A$1:$F$70,6,FALSE)</f>
        <v>32</v>
      </c>
      <c r="U85" s="378">
        <f>VLOOKUP(Table2[[#This Row],[Course Title]],'TSD-Data'!$A$1:$F$70,5,FALSE)</f>
        <v>4</v>
      </c>
      <c r="V85" s="379">
        <v>455</v>
      </c>
      <c r="W85" s="377"/>
      <c r="X85" s="377"/>
      <c r="Y85" s="378"/>
      <c r="Z85" s="378"/>
      <c r="AA85" s="370"/>
      <c r="AB85" s="370"/>
      <c r="AC85" s="370"/>
      <c r="AD85" s="370"/>
      <c r="AE85" s="378">
        <f ca="1">Table2[[#This Row],[End Date]]+2-TODAY()</f>
        <v>179</v>
      </c>
      <c r="AF85" s="370">
        <f>IF(ISBLANK(Table2[[#This Row],[Roster Received by]]),1,0)</f>
        <v>1</v>
      </c>
      <c r="AG85" s="377">
        <f ca="1">IF(Table2[[#This Row],[Start Date]]&gt;TODAY(),1,)</f>
        <v>1</v>
      </c>
      <c r="AH85" s="377">
        <f>IF(ISBLANK(Table2[[#This Row],[Primary Instructor]]),0,1)</f>
        <v>1</v>
      </c>
      <c r="AI85" s="377">
        <f>IF(ISBLANK(Table2[[#This Row],[Instructor 2]]),0,1)</f>
        <v>0</v>
      </c>
      <c r="AJ85" s="377">
        <f>Table2[[#This Row],[Course Length (Hours)]]/(SUM(Table2[[#This Row],[1]:[2]]))</f>
        <v>32</v>
      </c>
      <c r="AK85" s="370"/>
      <c r="AL85" s="377">
        <v>1</v>
      </c>
      <c r="AM85" s="403" t="str">
        <f>VLOOKUP(Table2[[#This Row],[Course Title]],'TSD-Data'!$A$1:$G$70,7,FALSE)</f>
        <v>N5</v>
      </c>
    </row>
    <row r="86" spans="1:39" s="380" customFormat="1" x14ac:dyDescent="0.25">
      <c r="A86" s="368"/>
      <c r="B86" s="396" t="s">
        <v>313</v>
      </c>
      <c r="C86" s="370" t="str">
        <f>VLOOKUP(Table2[[#This Row],[Course Title]],'TSD-Data'!$A$1:$E$70,2,FALSE)</f>
        <v>A-493-0078</v>
      </c>
      <c r="D86" s="370">
        <f>VLOOKUP(Table2[[#This Row],[Course Title]],'TSD-Data'!$A$1:$E$70,3,FALSE)</f>
        <v>1228</v>
      </c>
      <c r="E86" s="369" t="s">
        <v>176</v>
      </c>
      <c r="F86" s="371">
        <v>45992</v>
      </c>
      <c r="G86" s="371">
        <v>45996</v>
      </c>
      <c r="H86" s="371" t="s">
        <v>752</v>
      </c>
      <c r="I86" s="372">
        <v>0.33333333333333331</v>
      </c>
      <c r="J86" s="372"/>
      <c r="K86" s="371"/>
      <c r="L86" s="371"/>
      <c r="M86" s="371"/>
      <c r="N86" s="371"/>
      <c r="O86" s="371"/>
      <c r="P86" s="375" t="s">
        <v>256</v>
      </c>
      <c r="Q86" s="375"/>
      <c r="R86" s="376"/>
      <c r="S86" s="370">
        <f>VLOOKUP(Table2[[#This Row],[Course Title]],'TSD-Data'!$A$1:$E$70,4,FALSE)</f>
        <v>30</v>
      </c>
      <c r="T86" s="377">
        <f>VLOOKUP(Table2[[#This Row],[Course Title]],'TSD-Data'!$A$1:$F$70,6,FALSE)</f>
        <v>32</v>
      </c>
      <c r="U86" s="378">
        <f>VLOOKUP(Table2[[#This Row],[Course Title]],'TSD-Data'!$A$1:$F$70,5,FALSE)</f>
        <v>4</v>
      </c>
      <c r="V86" s="379">
        <v>0</v>
      </c>
      <c r="W86" s="377"/>
      <c r="X86" s="377"/>
      <c r="Y86" s="378"/>
      <c r="Z86" s="378"/>
      <c r="AA86" s="370"/>
      <c r="AB86" s="370"/>
      <c r="AC86" s="370"/>
      <c r="AD86" s="370"/>
      <c r="AE86" s="378">
        <f ca="1">Table2[[#This Row],[End Date]]+2-TODAY()</f>
        <v>180</v>
      </c>
      <c r="AF86" s="370">
        <f>IF(ISBLANK(Table2[[#This Row],[Roster Received by]]),1,0)</f>
        <v>1</v>
      </c>
      <c r="AG86" s="377">
        <f ca="1">IF(Table2[[#This Row],[Start Date]]&gt;TODAY(),1,)</f>
        <v>1</v>
      </c>
      <c r="AH86" s="377">
        <f>IF(ISBLANK(Table2[[#This Row],[Primary Instructor]]),0,1)</f>
        <v>1</v>
      </c>
      <c r="AI86" s="377">
        <f>IF(ISBLANK(Table2[[#This Row],[Instructor 2]]),0,1)</f>
        <v>0</v>
      </c>
      <c r="AJ86" s="377">
        <f>Table2[[#This Row],[Course Length (Hours)]]/(SUM(Table2[[#This Row],[1]:[2]]))</f>
        <v>32</v>
      </c>
      <c r="AK86" s="370"/>
      <c r="AL86" s="377">
        <v>1</v>
      </c>
      <c r="AM86" s="403" t="str">
        <f>VLOOKUP(Table2[[#This Row],[Course Title]],'TSD-Data'!$A$1:$G$70,7,FALSE)</f>
        <v>N5</v>
      </c>
    </row>
    <row r="87" spans="1:39" s="380" customFormat="1" x14ac:dyDescent="0.25">
      <c r="A87" s="368"/>
      <c r="B87" s="396" t="s">
        <v>53</v>
      </c>
      <c r="C87" s="370" t="str">
        <f>VLOOKUP(Table2[[#This Row],[Course Title]],'TSD-Data'!$A$1:$E$70,2,FALSE)</f>
        <v>A-493-0072</v>
      </c>
      <c r="D87" s="370" t="str">
        <f>VLOOKUP(Table2[[#This Row],[Course Title]],'TSD-Data'!$A$1:$E$70,3,FALSE)</f>
        <v>713U</v>
      </c>
      <c r="E87" s="369" t="s">
        <v>176</v>
      </c>
      <c r="F87" s="371">
        <v>45992</v>
      </c>
      <c r="G87" s="371">
        <v>45996</v>
      </c>
      <c r="H87" s="371" t="s">
        <v>752</v>
      </c>
      <c r="I87" s="372">
        <v>0.33333333333333331</v>
      </c>
      <c r="J87" s="372"/>
      <c r="K87" s="371"/>
      <c r="L87" s="371"/>
      <c r="M87" s="371"/>
      <c r="N87" s="371"/>
      <c r="O87" s="371"/>
      <c r="P87" s="375" t="s">
        <v>299</v>
      </c>
      <c r="Q87" s="375"/>
      <c r="R87" s="376" t="s">
        <v>256</v>
      </c>
      <c r="S87" s="370">
        <f>VLOOKUP(Table2[[#This Row],[Course Title]],'TSD-Data'!$A$1:$E$70,4,FALSE)</f>
        <v>30</v>
      </c>
      <c r="T87" s="377">
        <f>VLOOKUP(Table2[[#This Row],[Course Title]],'TSD-Data'!$A$1:$F$70,6,FALSE)</f>
        <v>40</v>
      </c>
      <c r="U87" s="378">
        <f>VLOOKUP(Table2[[#This Row],[Course Title]],'TSD-Data'!$A$1:$F$70,5,FALSE)</f>
        <v>5</v>
      </c>
      <c r="V87" s="379">
        <v>265</v>
      </c>
      <c r="W87" s="377"/>
      <c r="X87" s="377"/>
      <c r="Y87" s="378"/>
      <c r="Z87" s="378"/>
      <c r="AA87" s="370"/>
      <c r="AB87" s="370"/>
      <c r="AC87" s="370"/>
      <c r="AD87" s="370"/>
      <c r="AE87" s="378">
        <f ca="1">Table2[[#This Row],[End Date]]+2-TODAY()</f>
        <v>180</v>
      </c>
      <c r="AF87" s="370">
        <f>IF(ISBLANK(Table2[[#This Row],[Roster Received by]]),1,0)</f>
        <v>1</v>
      </c>
      <c r="AG87" s="377">
        <f ca="1">IF(Table2[[#This Row],[Start Date]]&gt;TODAY(),1,)</f>
        <v>1</v>
      </c>
      <c r="AH87" s="377">
        <f>IF(ISBLANK(Table2[[#This Row],[Primary Instructor]]),0,1)</f>
        <v>1</v>
      </c>
      <c r="AI87" s="377">
        <f>IF(ISBLANK(Table2[[#This Row],[Instructor 2]]),0,1)</f>
        <v>0</v>
      </c>
      <c r="AJ87" s="377">
        <f>Table2[[#This Row],[Course Length (Hours)]]/(SUM(Table2[[#This Row],[1]:[2]]))</f>
        <v>40</v>
      </c>
      <c r="AK87" s="370"/>
      <c r="AL87" s="377">
        <v>1</v>
      </c>
      <c r="AM87" s="403" t="str">
        <f>VLOOKUP(Table2[[#This Row],[Course Title]],'TSD-Data'!$A$1:$G$70,7,FALSE)</f>
        <v>N3</v>
      </c>
    </row>
    <row r="88" spans="1:39" s="380" customFormat="1" x14ac:dyDescent="0.25">
      <c r="A88" s="368"/>
      <c r="B88" s="396" t="s">
        <v>40</v>
      </c>
      <c r="C88" s="370" t="str">
        <f>VLOOKUP(Table2[[#This Row],[Course Title]],'TSD-Data'!$A$1:$E$70,2,FALSE)</f>
        <v>A-493-2098</v>
      </c>
      <c r="D88" s="370" t="str">
        <f>VLOOKUP(Table2[[#This Row],[Course Title]],'TSD-Data'!$A$1:$E$70,3,FALSE)</f>
        <v>09WW</v>
      </c>
      <c r="E88" s="369" t="s">
        <v>86</v>
      </c>
      <c r="F88" s="371">
        <v>45992</v>
      </c>
      <c r="G88" s="371">
        <v>45994</v>
      </c>
      <c r="H88" s="371" t="s">
        <v>752</v>
      </c>
      <c r="I88" s="372"/>
      <c r="J88" s="372">
        <v>0.79166666666666663</v>
      </c>
      <c r="K88" s="394">
        <v>0.66666666666666663</v>
      </c>
      <c r="L88" s="381">
        <v>0.125</v>
      </c>
      <c r="M88" s="381">
        <v>4.1666666666666664E-2</v>
      </c>
      <c r="N88" s="381">
        <v>0.58333333333333337</v>
      </c>
      <c r="O88" s="381">
        <v>0.375</v>
      </c>
      <c r="P88" s="375" t="s">
        <v>244</v>
      </c>
      <c r="Q88" s="375"/>
      <c r="R88" s="376"/>
      <c r="S88" s="370">
        <f>VLOOKUP(Table2[[#This Row],[Course Title]],'TSD-Data'!$A$1:$E$70,4,FALSE)</f>
        <v>100</v>
      </c>
      <c r="T88" s="377">
        <f>VLOOKUP(Table2[[#This Row],[Course Title]],'TSD-Data'!$A$1:$F$70,6,FALSE)</f>
        <v>16</v>
      </c>
      <c r="U88" s="378">
        <f>VLOOKUP(Table2[[#This Row],[Course Title]],'TSD-Data'!$A$1:$F$70,5,FALSE)</f>
        <v>3</v>
      </c>
      <c r="V88" s="379">
        <v>356</v>
      </c>
      <c r="W88" s="377"/>
      <c r="X88" s="377"/>
      <c r="Y88" s="378"/>
      <c r="Z88" s="378"/>
      <c r="AA88" s="370"/>
      <c r="AB88" s="370"/>
      <c r="AC88" s="370"/>
      <c r="AD88" s="370"/>
      <c r="AE88" s="378">
        <f ca="1">Table2[[#This Row],[End Date]]+2-TODAY()</f>
        <v>178</v>
      </c>
      <c r="AF88" s="370">
        <f>IF(ISBLANK(Table2[[#This Row],[Roster Received by]]),1,0)</f>
        <v>1</v>
      </c>
      <c r="AG88" s="377">
        <f ca="1">IF(Table2[[#This Row],[Start Date]]&gt;TODAY(),1,)</f>
        <v>1</v>
      </c>
      <c r="AH88" s="377">
        <f>IF(ISBLANK(Table2[[#This Row],[Primary Instructor]]),0,1)</f>
        <v>1</v>
      </c>
      <c r="AI88" s="377">
        <f>IF(ISBLANK(Table2[[#This Row],[Instructor 2]]),0,1)</f>
        <v>0</v>
      </c>
      <c r="AJ88" s="377">
        <f>Table2[[#This Row],[Course Length (Hours)]]/(SUM(Table2[[#This Row],[1]:[2]]))</f>
        <v>16</v>
      </c>
      <c r="AK88" s="370"/>
      <c r="AL88" s="377">
        <v>1</v>
      </c>
      <c r="AM88" s="403" t="str">
        <f>VLOOKUP(Table2[[#This Row],[Course Title]],'TSD-Data'!$A$1:$G$70,7,FALSE)</f>
        <v>N1</v>
      </c>
    </row>
    <row r="89" spans="1:39" s="380" customFormat="1" x14ac:dyDescent="0.25">
      <c r="A89" s="368"/>
      <c r="B89" s="396" t="s">
        <v>57</v>
      </c>
      <c r="C89" s="370" t="str">
        <f>VLOOKUP(Table2[[#This Row],[Course Title]],'TSD-Data'!$A$1:$E$70,2,FALSE)</f>
        <v>A-493-0099</v>
      </c>
      <c r="D89" s="370" t="str">
        <f>VLOOKUP(Table2[[#This Row],[Course Title]],'TSD-Data'!$A$1:$E$70,3,FALSE)</f>
        <v>12JW</v>
      </c>
      <c r="E89" s="369" t="s">
        <v>86</v>
      </c>
      <c r="F89" s="371">
        <v>45994</v>
      </c>
      <c r="G89" s="371">
        <v>45996</v>
      </c>
      <c r="H89" s="371" t="s">
        <v>752</v>
      </c>
      <c r="I89" s="372"/>
      <c r="J89" s="372">
        <v>0.33333333333333331</v>
      </c>
      <c r="K89" s="372">
        <v>0.20833333333333334</v>
      </c>
      <c r="L89" s="388">
        <v>1600</v>
      </c>
      <c r="M89" s="388">
        <v>1400</v>
      </c>
      <c r="N89" s="372">
        <v>0.125</v>
      </c>
      <c r="O89" s="388">
        <v>2200</v>
      </c>
      <c r="P89" s="375" t="s">
        <v>277</v>
      </c>
      <c r="Q89" s="375"/>
      <c r="R89" s="376"/>
      <c r="S89" s="370">
        <f>VLOOKUP(Table2[[#This Row],[Course Title]],'TSD-Data'!$A$1:$E$70,4,FALSE)</f>
        <v>45</v>
      </c>
      <c r="T89" s="377">
        <f>VLOOKUP(Table2[[#This Row],[Course Title]],'TSD-Data'!$A$1:$F$70,6,FALSE)</f>
        <v>24</v>
      </c>
      <c r="U89" s="378">
        <f>VLOOKUP(Table2[[#This Row],[Course Title]],'TSD-Data'!$A$1:$F$70,5,FALSE)</f>
        <v>3</v>
      </c>
      <c r="V89" s="379">
        <v>334</v>
      </c>
      <c r="W89" s="377"/>
      <c r="X89" s="377"/>
      <c r="Y89" s="378"/>
      <c r="Z89" s="378"/>
      <c r="AA89" s="370"/>
      <c r="AB89" s="370"/>
      <c r="AC89" s="370"/>
      <c r="AD89" s="370"/>
      <c r="AE89" s="378">
        <f ca="1">Table2[[#This Row],[End Date]]+2-TODAY()</f>
        <v>180</v>
      </c>
      <c r="AF89" s="370">
        <f>IF(ISBLANK(Table2[[#This Row],[Roster Received by]]),1,0)</f>
        <v>1</v>
      </c>
      <c r="AG89" s="377">
        <f ca="1">IF(Table2[[#This Row],[Start Date]]&gt;TODAY(),1,)</f>
        <v>1</v>
      </c>
      <c r="AH89" s="377">
        <f>IF(ISBLANK(Table2[[#This Row],[Primary Instructor]]),0,1)</f>
        <v>1</v>
      </c>
      <c r="AI89" s="377">
        <f>IF(ISBLANK(Table2[[#This Row],[Instructor 2]]),0,1)</f>
        <v>0</v>
      </c>
      <c r="AJ89" s="377">
        <f>Table2[[#This Row],[Course Length (Hours)]]/(SUM(Table2[[#This Row],[1]:[2]]))</f>
        <v>24</v>
      </c>
      <c r="AK89" s="370"/>
      <c r="AL89" s="377">
        <v>1</v>
      </c>
      <c r="AM89" s="403" t="str">
        <f>VLOOKUP(Table2[[#This Row],[Course Title]],'TSD-Data'!$A$1:$G$70,7,FALSE)</f>
        <v>N5</v>
      </c>
    </row>
    <row r="90" spans="1:39" s="380" customFormat="1" x14ac:dyDescent="0.25">
      <c r="A90" s="368"/>
      <c r="B90" s="432" t="s">
        <v>37</v>
      </c>
      <c r="C90" s="370" t="str">
        <f>VLOOKUP(Table2[[#This Row],[Course Title]],'TSD-Data'!$A$1:$E$70,2,FALSE)</f>
        <v>A-493-0665</v>
      </c>
      <c r="D90" s="370" t="str">
        <f>VLOOKUP(Table2[[#This Row],[Course Title]],'TSD-Data'!$A$1:$E$70,3,FALSE)</f>
        <v>10KW</v>
      </c>
      <c r="E90" s="369" t="s">
        <v>86</v>
      </c>
      <c r="F90" s="371">
        <v>45999</v>
      </c>
      <c r="G90" s="371">
        <v>46001</v>
      </c>
      <c r="H90" s="371" t="s">
        <v>752</v>
      </c>
      <c r="I90" s="372"/>
      <c r="J90" s="439">
        <v>0.5</v>
      </c>
      <c r="K90" s="439">
        <v>0.375</v>
      </c>
      <c r="L90" s="439">
        <v>0.83333333333333337</v>
      </c>
      <c r="M90" s="439">
        <v>0.75</v>
      </c>
      <c r="N90" s="439">
        <v>0.29166666666666669</v>
      </c>
      <c r="O90" s="439">
        <v>8.3333333333333329E-2</v>
      </c>
      <c r="P90" s="375" t="s">
        <v>248</v>
      </c>
      <c r="Q90" s="375"/>
      <c r="R90" s="376"/>
      <c r="S90" s="370">
        <f>VLOOKUP(Table2[[#This Row],[Course Title]],'TSD-Data'!$A$1:$E$70,4,FALSE)</f>
        <v>45</v>
      </c>
      <c r="T90" s="377">
        <f>VLOOKUP(Table2[[#This Row],[Course Title]],'TSD-Data'!$A$1:$F$70,6,FALSE)</f>
        <v>24</v>
      </c>
      <c r="U90" s="378">
        <f>VLOOKUP(Table2[[#This Row],[Course Title]],'TSD-Data'!$A$1:$F$70,5,FALSE)</f>
        <v>3</v>
      </c>
      <c r="V90" s="379">
        <v>337</v>
      </c>
      <c r="W90" s="377"/>
      <c r="X90" s="377"/>
      <c r="Y90" s="378"/>
      <c r="Z90" s="378"/>
      <c r="AA90" s="370"/>
      <c r="AB90" s="370"/>
      <c r="AC90" s="370"/>
      <c r="AD90" s="370"/>
      <c r="AE90" s="378">
        <f ca="1">Table2[[#This Row],[End Date]]+2-TODAY()</f>
        <v>185</v>
      </c>
      <c r="AF90" s="370">
        <f>IF(ISBLANK(Table2[[#This Row],[Roster Received by]]),1,0)</f>
        <v>1</v>
      </c>
      <c r="AG90" s="377">
        <f ca="1">IF(Table2[[#This Row],[Start Date]]&gt;TODAY(),1,)</f>
        <v>1</v>
      </c>
      <c r="AH90" s="377">
        <f>IF(ISBLANK(Table2[[#This Row],[Primary Instructor]]),0,1)</f>
        <v>1</v>
      </c>
      <c r="AI90" s="377">
        <f>IF(ISBLANK(Table2[[#This Row],[Instructor 2]]),0,1)</f>
        <v>0</v>
      </c>
      <c r="AJ90" s="377">
        <f>Table2[[#This Row],[Course Length (Hours)]]/(SUM(Table2[[#This Row],[1]:[2]]))</f>
        <v>24</v>
      </c>
      <c r="AK90" s="370"/>
      <c r="AL90" s="377">
        <v>1</v>
      </c>
      <c r="AM90" s="403" t="str">
        <f>VLOOKUP(Table2[[#This Row],[Course Title]],'TSD-Data'!$A$1:$G$70,7,FALSE)</f>
        <v>N5</v>
      </c>
    </row>
    <row r="91" spans="1:39" s="380" customFormat="1" x14ac:dyDescent="0.25">
      <c r="A91" s="368"/>
      <c r="B91" s="432" t="s">
        <v>55</v>
      </c>
      <c r="C91" s="370" t="str">
        <f>VLOOKUP(Table2[[#This Row],[Course Title]],'TSD-Data'!$A$1:$E$70,2,FALSE)</f>
        <v>A-493-0103</v>
      </c>
      <c r="D91" s="370" t="str">
        <f>VLOOKUP(Table2[[#This Row],[Course Title]],'TSD-Data'!$A$1:$E$70,3,FALSE)</f>
        <v>12JY</v>
      </c>
      <c r="E91" s="369" t="s">
        <v>176</v>
      </c>
      <c r="F91" s="371">
        <v>45999</v>
      </c>
      <c r="G91" s="371">
        <v>46003</v>
      </c>
      <c r="H91" s="371" t="s">
        <v>752</v>
      </c>
      <c r="I91" s="372">
        <v>0.33333333333333331</v>
      </c>
      <c r="J91" s="372"/>
      <c r="K91" s="393"/>
      <c r="L91" s="371"/>
      <c r="M91" s="371"/>
      <c r="N91" s="371"/>
      <c r="O91" s="371"/>
      <c r="P91" s="375" t="s">
        <v>289</v>
      </c>
      <c r="Q91" s="375"/>
      <c r="R91" s="376"/>
      <c r="S91" s="370">
        <f>VLOOKUP(Table2[[#This Row],[Course Title]],'TSD-Data'!$A$1:$E$70,4,FALSE)</f>
        <v>25</v>
      </c>
      <c r="T91" s="377">
        <f>VLOOKUP(Table2[[#This Row],[Course Title]],'TSD-Data'!$A$1:$F$70,6,FALSE)</f>
        <v>40</v>
      </c>
      <c r="U91" s="378">
        <f>VLOOKUP(Table2[[#This Row],[Course Title]],'TSD-Data'!$A$1:$F$70,5,FALSE)</f>
        <v>5</v>
      </c>
      <c r="V91" s="379">
        <v>516</v>
      </c>
      <c r="W91" s="377"/>
      <c r="X91" s="377"/>
      <c r="Y91" s="378"/>
      <c r="Z91" s="378"/>
      <c r="AA91" s="370"/>
      <c r="AB91" s="370"/>
      <c r="AC91" s="370"/>
      <c r="AD91" s="370"/>
      <c r="AE91" s="378">
        <f ca="1">Table2[[#This Row],[End Date]]+2-TODAY()</f>
        <v>187</v>
      </c>
      <c r="AF91" s="370">
        <f>IF(ISBLANK(Table2[[#This Row],[Roster Received by]]),1,0)</f>
        <v>1</v>
      </c>
      <c r="AG91" s="377">
        <f ca="1">IF(Table2[[#This Row],[Start Date]]&gt;TODAY(),1,)</f>
        <v>1</v>
      </c>
      <c r="AH91" s="377">
        <f>IF(ISBLANK(Table2[[#This Row],[Primary Instructor]]),0,1)</f>
        <v>1</v>
      </c>
      <c r="AI91" s="377">
        <f>IF(ISBLANK(Table2[[#This Row],[Instructor 2]]),0,1)</f>
        <v>0</v>
      </c>
      <c r="AJ91" s="377">
        <f>Table2[[#This Row],[Course Length (Hours)]]/(SUM(Table2[[#This Row],[1]:[2]]))</f>
        <v>40</v>
      </c>
      <c r="AK91" s="370"/>
      <c r="AL91" s="377">
        <v>1</v>
      </c>
      <c r="AM91" s="403" t="str">
        <f>VLOOKUP(Table2[[#This Row],[Course Title]],'TSD-Data'!$A$1:$G$70,7,FALSE)</f>
        <v>N5</v>
      </c>
    </row>
    <row r="92" spans="1:39" s="380" customFormat="1" x14ac:dyDescent="0.25">
      <c r="A92" s="368"/>
      <c r="B92" s="369" t="s">
        <v>61</v>
      </c>
      <c r="C92" s="370" t="str">
        <f>VLOOKUP(Table2[[#This Row],[Course Title]],'TSD-Data'!$A$1:$E$70,2,FALSE)</f>
        <v>A-493-0078</v>
      </c>
      <c r="D92" s="370">
        <f>VLOOKUP(Table2[[#This Row],[Course Title]],'TSD-Data'!$A$1:$E$70,3,FALSE)</f>
        <v>1228</v>
      </c>
      <c r="E92" s="369" t="s">
        <v>86</v>
      </c>
      <c r="F92" s="371">
        <v>45999</v>
      </c>
      <c r="G92" s="371">
        <v>46002</v>
      </c>
      <c r="H92" s="371" t="s">
        <v>752</v>
      </c>
      <c r="I92" s="372"/>
      <c r="J92" s="372">
        <v>0.33333333333333331</v>
      </c>
      <c r="K92" s="440">
        <v>0.20833333333333334</v>
      </c>
      <c r="L92" s="388">
        <v>1600</v>
      </c>
      <c r="M92" s="388">
        <v>1400</v>
      </c>
      <c r="N92" s="372">
        <v>0.125</v>
      </c>
      <c r="O92" s="388">
        <v>2200</v>
      </c>
      <c r="P92" s="375" t="s">
        <v>256</v>
      </c>
      <c r="Q92" s="375"/>
      <c r="R92" s="376"/>
      <c r="S92" s="370">
        <f>VLOOKUP(Table2[[#This Row],[Course Title]],'TSD-Data'!$A$1:$E$70,4,FALSE)</f>
        <v>45</v>
      </c>
      <c r="T92" s="377">
        <f>VLOOKUP(Table2[[#This Row],[Course Title]],'TSD-Data'!$A$1:$F$70,6,FALSE)</f>
        <v>32</v>
      </c>
      <c r="U92" s="378">
        <f>VLOOKUP(Table2[[#This Row],[Course Title]],'TSD-Data'!$A$1:$F$70,5,FALSE)</f>
        <v>4</v>
      </c>
      <c r="V92" s="379">
        <v>454</v>
      </c>
      <c r="W92" s="377"/>
      <c r="X92" s="377"/>
      <c r="Y92" s="378"/>
      <c r="Z92" s="378"/>
      <c r="AA92" s="370"/>
      <c r="AB92" s="370"/>
      <c r="AC92" s="370"/>
      <c r="AD92" s="370"/>
      <c r="AE92" s="378">
        <f ca="1">Table2[[#This Row],[End Date]]+2-TODAY()</f>
        <v>186</v>
      </c>
      <c r="AF92" s="370">
        <f>IF(ISBLANK(Table2[[#This Row],[Roster Received by]]),1,0)</f>
        <v>1</v>
      </c>
      <c r="AG92" s="377">
        <f ca="1">IF(Table2[[#This Row],[Start Date]]&gt;TODAY(),1,)</f>
        <v>1</v>
      </c>
      <c r="AH92" s="377">
        <f>IF(ISBLANK(Table2[[#This Row],[Primary Instructor]]),0,1)</f>
        <v>1</v>
      </c>
      <c r="AI92" s="377">
        <f>IF(ISBLANK(Table2[[#This Row],[Instructor 2]]),0,1)</f>
        <v>0</v>
      </c>
      <c r="AJ92" s="377">
        <f>Table2[[#This Row],[Course Length (Hours)]]/(SUM(Table2[[#This Row],[1]:[2]]))</f>
        <v>32</v>
      </c>
      <c r="AK92" s="370"/>
      <c r="AL92" s="377">
        <v>1</v>
      </c>
      <c r="AM92" s="403" t="str">
        <f>VLOOKUP(Table2[[#This Row],[Course Title]],'TSD-Data'!$A$1:$G$70,7,FALSE)</f>
        <v>N5</v>
      </c>
    </row>
    <row r="93" spans="1:39" s="380" customFormat="1" x14ac:dyDescent="0.25">
      <c r="A93" s="368"/>
      <c r="B93" s="369" t="s">
        <v>39</v>
      </c>
      <c r="C93" s="370" t="str">
        <f>VLOOKUP(Table2[[#This Row],[Course Title]],'TSD-Data'!$A$1:$E$70,2,FALSE)</f>
        <v>A-570-0100</v>
      </c>
      <c r="D93" s="370" t="str">
        <f>VLOOKUP(Table2[[#This Row],[Course Title]],'TSD-Data'!$A$1:$E$70,3,FALSE)</f>
        <v>18B7</v>
      </c>
      <c r="E93" s="369" t="s">
        <v>86</v>
      </c>
      <c r="F93" s="371">
        <v>45999</v>
      </c>
      <c r="G93" s="371">
        <v>46000</v>
      </c>
      <c r="H93" s="371" t="s">
        <v>752</v>
      </c>
      <c r="I93" s="372"/>
      <c r="J93" s="381">
        <v>0.5</v>
      </c>
      <c r="K93" s="394">
        <v>0.375</v>
      </c>
      <c r="L93" s="381">
        <v>0.83333333333333337</v>
      </c>
      <c r="M93" s="381">
        <v>0.75</v>
      </c>
      <c r="N93" s="381">
        <v>0.29166666666666669</v>
      </c>
      <c r="O93" s="381">
        <v>8.3333333333333329E-2</v>
      </c>
      <c r="P93" s="375" t="s">
        <v>232</v>
      </c>
      <c r="Q93" s="375"/>
      <c r="R93" s="376"/>
      <c r="S93" s="370">
        <f>VLOOKUP(Table2[[#This Row],[Course Title]],'TSD-Data'!$A$1:$E$70,4,FALSE)</f>
        <v>45</v>
      </c>
      <c r="T93" s="377">
        <f>VLOOKUP(Table2[[#This Row],[Course Title]],'TSD-Data'!$A$1:$F$70,6,FALSE)</f>
        <v>16</v>
      </c>
      <c r="U93" s="378">
        <f>VLOOKUP(Table2[[#This Row],[Course Title]],'TSD-Data'!$A$1:$F$70,5,FALSE)</f>
        <v>2</v>
      </c>
      <c r="V93" s="379">
        <v>663</v>
      </c>
      <c r="W93" s="377"/>
      <c r="X93" s="377"/>
      <c r="Y93" s="378"/>
      <c r="Z93" s="378"/>
      <c r="AA93" s="370"/>
      <c r="AB93" s="370"/>
      <c r="AC93" s="370"/>
      <c r="AD93" s="370"/>
      <c r="AE93" s="378">
        <f ca="1">Table2[[#This Row],[End Date]]+2-TODAY()</f>
        <v>184</v>
      </c>
      <c r="AF93" s="370">
        <f>IF(ISBLANK(Table2[[#This Row],[Roster Received by]]),1,0)</f>
        <v>1</v>
      </c>
      <c r="AG93" s="377">
        <f ca="1">IF(Table2[[#This Row],[Start Date]]&gt;TODAY(),1,)</f>
        <v>1</v>
      </c>
      <c r="AH93" s="377">
        <f>IF(ISBLANK(Table2[[#This Row],[Primary Instructor]]),0,1)</f>
        <v>1</v>
      </c>
      <c r="AI93" s="377">
        <f>IF(ISBLANK(Table2[[#This Row],[Instructor 2]]),0,1)</f>
        <v>0</v>
      </c>
      <c r="AJ93" s="377">
        <f>Table2[[#This Row],[Course Length (Hours)]]/(SUM(Table2[[#This Row],[1]:[2]]))</f>
        <v>16</v>
      </c>
      <c r="AK93" s="370"/>
      <c r="AL93" s="377">
        <v>1</v>
      </c>
      <c r="AM93" s="403" t="str">
        <f>VLOOKUP(Table2[[#This Row],[Course Title]],'TSD-Data'!$A$1:$G$70,7,FALSE)</f>
        <v>N5</v>
      </c>
    </row>
    <row r="94" spans="1:39" s="380" customFormat="1" x14ac:dyDescent="0.25">
      <c r="A94" s="368"/>
      <c r="B94" s="435" t="s">
        <v>50</v>
      </c>
      <c r="C94" s="370" t="str">
        <f>VLOOKUP(Table2[[#This Row],[Course Title]],'TSD-Data'!$A$1:$E$70,2,FALSE)</f>
        <v>A-493-0331</v>
      </c>
      <c r="D94" s="370" t="str">
        <f>VLOOKUP(Table2[[#This Row],[Course Title]],'TSD-Data'!$A$1:$E$70,3,FALSE)</f>
        <v>10UG</v>
      </c>
      <c r="E94" s="369" t="s">
        <v>86</v>
      </c>
      <c r="F94" s="371">
        <v>46000</v>
      </c>
      <c r="G94" s="371">
        <v>46002</v>
      </c>
      <c r="H94" s="371" t="s">
        <v>752</v>
      </c>
      <c r="I94" s="372"/>
      <c r="J94" s="381">
        <v>0.5</v>
      </c>
      <c r="K94" s="381">
        <v>0.375</v>
      </c>
      <c r="L94" s="381">
        <v>0.83333333333333337</v>
      </c>
      <c r="M94" s="381">
        <v>0.75</v>
      </c>
      <c r="N94" s="381">
        <v>0.29166666666666669</v>
      </c>
      <c r="O94" s="381">
        <v>8.3333333333333329E-2</v>
      </c>
      <c r="P94" s="375" t="s">
        <v>297</v>
      </c>
      <c r="Q94" s="375"/>
      <c r="R94" s="376"/>
      <c r="S94" s="370">
        <f>VLOOKUP(Table2[[#This Row],[Course Title]],'TSD-Data'!$A$1:$E$70,4,FALSE)</f>
        <v>45</v>
      </c>
      <c r="T94" s="377">
        <f>VLOOKUP(Table2[[#This Row],[Course Title]],'TSD-Data'!$A$1:$F$70,6,FALSE)</f>
        <v>24</v>
      </c>
      <c r="U94" s="378">
        <f>VLOOKUP(Table2[[#This Row],[Course Title]],'TSD-Data'!$A$1:$F$70,5,FALSE)</f>
        <v>3</v>
      </c>
      <c r="V94" s="379">
        <v>844</v>
      </c>
      <c r="W94" s="377"/>
      <c r="X94" s="377"/>
      <c r="Y94" s="378"/>
      <c r="Z94" s="378"/>
      <c r="AA94" s="370"/>
      <c r="AB94" s="370"/>
      <c r="AC94" s="370"/>
      <c r="AD94" s="370"/>
      <c r="AE94" s="378">
        <f ca="1">Table2[[#This Row],[End Date]]+2-TODAY()</f>
        <v>186</v>
      </c>
      <c r="AF94" s="370">
        <f>IF(ISBLANK(Table2[[#This Row],[Roster Received by]]),1,0)</f>
        <v>1</v>
      </c>
      <c r="AG94" s="377">
        <f ca="1">IF(Table2[[#This Row],[Start Date]]&gt;TODAY(),1,)</f>
        <v>1</v>
      </c>
      <c r="AH94" s="377">
        <f>IF(ISBLANK(Table2[[#This Row],[Primary Instructor]]),0,1)</f>
        <v>1</v>
      </c>
      <c r="AI94" s="377">
        <f>IF(ISBLANK(Table2[[#This Row],[Instructor 2]]),0,1)</f>
        <v>0</v>
      </c>
      <c r="AJ94" s="377">
        <f>Table2[[#This Row],[Course Length (Hours)]]/(SUM(Table2[[#This Row],[1]:[2]]))</f>
        <v>24</v>
      </c>
      <c r="AK94" s="370"/>
      <c r="AL94" s="377">
        <v>1</v>
      </c>
      <c r="AM94" s="403" t="str">
        <f>VLOOKUP(Table2[[#This Row],[Course Title]],'TSD-Data'!$A$1:$G$70,7,FALSE)</f>
        <v>N3</v>
      </c>
    </row>
    <row r="95" spans="1:39" s="380" customFormat="1" x14ac:dyDescent="0.25">
      <c r="A95" s="368"/>
      <c r="B95" s="369" t="s">
        <v>59</v>
      </c>
      <c r="C95" s="370" t="str">
        <f>VLOOKUP(Table2[[#This Row],[Course Title]],'TSD-Data'!$A$1:$E$70,2,FALSE)</f>
        <v>A-493-0550</v>
      </c>
      <c r="D95" s="370" t="str">
        <f>VLOOKUP(Table2[[#This Row],[Course Title]],'TSD-Data'!$A$1:$E$70,3,FALSE)</f>
        <v>09K5</v>
      </c>
      <c r="E95" s="369" t="s">
        <v>86</v>
      </c>
      <c r="F95" s="371">
        <v>46000</v>
      </c>
      <c r="G95" s="371">
        <v>46003</v>
      </c>
      <c r="H95" s="371" t="s">
        <v>752</v>
      </c>
      <c r="I95" s="372"/>
      <c r="J95" s="381">
        <v>0.5</v>
      </c>
      <c r="K95" s="439">
        <v>0.375</v>
      </c>
      <c r="L95" s="381">
        <v>0.83333333333333337</v>
      </c>
      <c r="M95" s="381">
        <v>0.75</v>
      </c>
      <c r="N95" s="381">
        <v>0.29166666666666669</v>
      </c>
      <c r="O95" s="381">
        <v>8.3333333333333329E-2</v>
      </c>
      <c r="P95" s="375" t="s">
        <v>272</v>
      </c>
      <c r="Q95" s="375"/>
      <c r="R95" s="376"/>
      <c r="S95" s="370">
        <f>VLOOKUP(Table2[[#This Row],[Course Title]],'TSD-Data'!$A$1:$E$70,4,FALSE)</f>
        <v>45</v>
      </c>
      <c r="T95" s="377">
        <f>VLOOKUP(Table2[[#This Row],[Course Title]],'TSD-Data'!$A$1:$F$70,6,FALSE)</f>
        <v>32</v>
      </c>
      <c r="U95" s="378">
        <f>VLOOKUP(Table2[[#This Row],[Course Title]],'TSD-Data'!$A$1:$F$70,5,FALSE)</f>
        <v>4</v>
      </c>
      <c r="V95" s="379">
        <v>864</v>
      </c>
      <c r="W95" s="377"/>
      <c r="X95" s="377"/>
      <c r="Y95" s="378"/>
      <c r="Z95" s="378"/>
      <c r="AA95" s="370"/>
      <c r="AB95" s="370"/>
      <c r="AC95" s="370"/>
      <c r="AD95" s="370"/>
      <c r="AE95" s="378">
        <f ca="1">Table2[[#This Row],[End Date]]+2-TODAY()</f>
        <v>187</v>
      </c>
      <c r="AF95" s="370">
        <f>IF(ISBLANK(Table2[[#This Row],[Roster Received by]]),1,0)</f>
        <v>1</v>
      </c>
      <c r="AG95" s="377">
        <f ca="1">IF(Table2[[#This Row],[Start Date]]&gt;TODAY(),1,)</f>
        <v>1</v>
      </c>
      <c r="AH95" s="377">
        <f>IF(ISBLANK(Table2[[#This Row],[Primary Instructor]]),0,1)</f>
        <v>1</v>
      </c>
      <c r="AI95" s="377">
        <f>IF(ISBLANK(Table2[[#This Row],[Instructor 2]]),0,1)</f>
        <v>0</v>
      </c>
      <c r="AJ95" s="377">
        <f>Table2[[#This Row],[Course Length (Hours)]]/(SUM(Table2[[#This Row],[1]:[2]]))</f>
        <v>32</v>
      </c>
      <c r="AK95" s="370"/>
      <c r="AL95" s="377">
        <v>1</v>
      </c>
      <c r="AM95" s="403" t="str">
        <f>VLOOKUP(Table2[[#This Row],[Course Title]],'TSD-Data'!$A$1:$G$70,7,FALSE)</f>
        <v>N5</v>
      </c>
    </row>
    <row r="96" spans="1:39" s="380" customFormat="1" x14ac:dyDescent="0.25">
      <c r="A96" s="368" t="s">
        <v>568</v>
      </c>
      <c r="B96" s="369" t="s">
        <v>365</v>
      </c>
      <c r="C96" s="370" t="str">
        <f>VLOOKUP(Table2[[#This Row],[Course Title]],'TSD-Data'!$A$1:$E$70,2,FALSE)</f>
        <v>A-493-3002</v>
      </c>
      <c r="D96" s="370" t="str">
        <f>VLOOKUP(Table2[[#This Row],[Course Title]],'TSD-Data'!$A$1:$E$70,3,FALSE)</f>
        <v>31V4</v>
      </c>
      <c r="E96" s="369" t="s">
        <v>86</v>
      </c>
      <c r="F96" s="371">
        <v>46005</v>
      </c>
      <c r="G96" s="371">
        <v>46005</v>
      </c>
      <c r="H96" s="371" t="s">
        <v>752</v>
      </c>
      <c r="I96" s="372"/>
      <c r="J96" s="372">
        <v>0.75</v>
      </c>
      <c r="K96" s="397">
        <v>0.625</v>
      </c>
      <c r="L96" s="372">
        <v>8.3333333333333329E-2</v>
      </c>
      <c r="M96" s="372">
        <v>0</v>
      </c>
      <c r="N96" s="372">
        <v>0.54166666666666663</v>
      </c>
      <c r="O96" s="372">
        <v>0.33333333333333331</v>
      </c>
      <c r="P96" s="375" t="s">
        <v>325</v>
      </c>
      <c r="Q96" s="375"/>
      <c r="R96" s="376"/>
      <c r="S96" s="370">
        <f>VLOOKUP(Table2[[#This Row],[Course Title]],'TSD-Data'!$A$1:$E$70,4,FALSE)</f>
        <v>100</v>
      </c>
      <c r="T96" s="377">
        <f>VLOOKUP(Table2[[#This Row],[Course Title]],'TSD-Data'!$A$1:$F$70,6,FALSE)</f>
        <v>8</v>
      </c>
      <c r="U96" s="378">
        <f>VLOOKUP(Table2[[#This Row],[Course Title]],'TSD-Data'!$A$1:$F$70,5,FALSE)</f>
        <v>1</v>
      </c>
      <c r="V96" s="379">
        <v>0</v>
      </c>
      <c r="W96" s="377"/>
      <c r="X96" s="377"/>
      <c r="Y96" s="378"/>
      <c r="Z96" s="378"/>
      <c r="AA96" s="370"/>
      <c r="AB96" s="370"/>
      <c r="AC96" s="370"/>
      <c r="AD96" s="370"/>
      <c r="AE96" s="378">
        <f ca="1">Table2[[#This Row],[End Date]]+2-TODAY()</f>
        <v>189</v>
      </c>
      <c r="AF96" s="370">
        <f>IF(ISBLANK(Table2[[#This Row],[Roster Received by]]),1,0)</f>
        <v>1</v>
      </c>
      <c r="AG96" s="377">
        <f ca="1">IF(Table2[[#This Row],[Start Date]]&gt;TODAY(),1,)</f>
        <v>1</v>
      </c>
      <c r="AH96" s="377">
        <f>IF(ISBLANK(Table2[[#This Row],[Primary Instructor]]),0,1)</f>
        <v>1</v>
      </c>
      <c r="AI96" s="377">
        <f>IF(ISBLANK(Table2[[#This Row],[Instructor 2]]),0,1)</f>
        <v>0</v>
      </c>
      <c r="AJ96" s="377">
        <f>Table2[[#This Row],[Course Length (Hours)]]/(SUM(Table2[[#This Row],[1]:[2]]))</f>
        <v>8</v>
      </c>
      <c r="AK96" s="370"/>
      <c r="AL96" s="377">
        <v>1</v>
      </c>
      <c r="AM96" s="403" t="str">
        <f>VLOOKUP(Table2[[#This Row],[Course Title]],'TSD-Data'!$A$1:$G$70,7,FALSE)</f>
        <v>N1</v>
      </c>
    </row>
    <row r="97" spans="1:39" s="380" customFormat="1" x14ac:dyDescent="0.25">
      <c r="A97" s="369"/>
      <c r="B97" s="432" t="s">
        <v>15</v>
      </c>
      <c r="C97" s="370" t="str">
        <f>VLOOKUP(Table2[[#This Row],[Course Title]],'TSD-Data'!$A$1:$E$70,2,FALSE)</f>
        <v>A-4J-0022</v>
      </c>
      <c r="D97" s="370" t="str">
        <f>VLOOKUP(Table2[[#This Row],[Course Title]],'TSD-Data'!$A$1:$E$70,3,FALSE)</f>
        <v>09ER</v>
      </c>
      <c r="E97" s="369" t="s">
        <v>86</v>
      </c>
      <c r="F97" s="371">
        <v>46006</v>
      </c>
      <c r="G97" s="371">
        <v>46010</v>
      </c>
      <c r="H97" s="371" t="s">
        <v>752</v>
      </c>
      <c r="I97" s="372"/>
      <c r="J97" s="381">
        <v>0.5</v>
      </c>
      <c r="K97" s="394">
        <v>0.375</v>
      </c>
      <c r="L97" s="381">
        <v>0.83333333333333337</v>
      </c>
      <c r="M97" s="381">
        <v>0.75</v>
      </c>
      <c r="N97" s="381">
        <v>0.29166666666666669</v>
      </c>
      <c r="O97" s="381">
        <v>8.3333333333333329E-2</v>
      </c>
      <c r="P97" s="375" t="s">
        <v>233</v>
      </c>
      <c r="Q97" s="375"/>
      <c r="R97" s="375"/>
      <c r="S97" s="370">
        <f>VLOOKUP(Table2[[#This Row],[Course Title]],'TSD-Data'!$A$1:$E$70,4,FALSE)</f>
        <v>45</v>
      </c>
      <c r="T97" s="377">
        <f>VLOOKUP(Table2[[#This Row],[Course Title]],'TSD-Data'!$A$1:$F$70,6,FALSE)</f>
        <v>16</v>
      </c>
      <c r="U97" s="378">
        <f>VLOOKUP(Table2[[#This Row],[Course Title]],'TSD-Data'!$A$1:$F$70,5,FALSE)</f>
        <v>2</v>
      </c>
      <c r="V97" s="379">
        <v>130</v>
      </c>
      <c r="W97" s="377"/>
      <c r="X97" s="377"/>
      <c r="Y97" s="379"/>
      <c r="Z97" s="379"/>
      <c r="AA97" s="377"/>
      <c r="AB97" s="377"/>
      <c r="AC97" s="377"/>
      <c r="AD97" s="377"/>
      <c r="AE97" s="379">
        <f ca="1">Table2[[#This Row],[End Date]]+2-TODAY()</f>
        <v>194</v>
      </c>
      <c r="AF97" s="377">
        <f>IF(ISBLANK(Table2[[#This Row],[Roster Received by]]),1,0)</f>
        <v>1</v>
      </c>
      <c r="AG97" s="377">
        <f ca="1">IF(Table2[[#This Row],[Start Date]]&gt;TODAY(),1,)</f>
        <v>1</v>
      </c>
      <c r="AH97" s="377">
        <f>IF(ISBLANK(Table2[[#This Row],[Primary Instructor]]),0,1)</f>
        <v>1</v>
      </c>
      <c r="AI97" s="377">
        <f>IF(ISBLANK(Table2[[#This Row],[Instructor 2]]),0,1)</f>
        <v>0</v>
      </c>
      <c r="AJ97" s="377">
        <f>Table2[[#This Row],[Course Length (Hours)]]/(SUM(Table2[[#This Row],[1]:[2]]))</f>
        <v>16</v>
      </c>
      <c r="AK97" s="377"/>
      <c r="AL97" s="377">
        <v>1</v>
      </c>
      <c r="AM97" s="403" t="str">
        <f>VLOOKUP(Table2[[#This Row],[Course Title]],'TSD-Data'!$A$1:$G$70,7,FALSE)</f>
        <v>N4</v>
      </c>
    </row>
    <row r="98" spans="1:39" s="380" customFormat="1" x14ac:dyDescent="0.25">
      <c r="A98" s="368"/>
      <c r="B98" s="369" t="s">
        <v>38</v>
      </c>
      <c r="C98" s="370" t="str">
        <f>VLOOKUP(Table2[[#This Row],[Course Title]],'TSD-Data'!$A$1:$E$70,2,FALSE)</f>
        <v>A-493-0061</v>
      </c>
      <c r="D98" s="370" t="str">
        <f>VLOOKUP(Table2[[#This Row],[Course Title]],'TSD-Data'!$A$1:$E$70,3,FALSE)</f>
        <v>288E</v>
      </c>
      <c r="E98" s="369" t="s">
        <v>86</v>
      </c>
      <c r="F98" s="371">
        <v>46006</v>
      </c>
      <c r="G98" s="371">
        <v>46010</v>
      </c>
      <c r="H98" s="371" t="s">
        <v>752</v>
      </c>
      <c r="I98" s="372"/>
      <c r="J98" s="372">
        <v>0.79166666666666663</v>
      </c>
      <c r="K98" s="394">
        <v>0.66666666666666663</v>
      </c>
      <c r="L98" s="381">
        <v>0.125</v>
      </c>
      <c r="M98" s="381">
        <v>4.1666666666666664E-2</v>
      </c>
      <c r="N98" s="381">
        <v>0.58333333333333337</v>
      </c>
      <c r="O98" s="381">
        <v>0.375</v>
      </c>
      <c r="P98" s="375" t="s">
        <v>274</v>
      </c>
      <c r="Q98" s="375"/>
      <c r="R98" s="376"/>
      <c r="S98" s="370">
        <f>VLOOKUP(Table2[[#This Row],[Course Title]],'TSD-Data'!$A$1:$E$70,4,FALSE)</f>
        <v>45</v>
      </c>
      <c r="T98" s="377">
        <f>VLOOKUP(Table2[[#This Row],[Course Title]],'TSD-Data'!$A$1:$F$70,6,FALSE)</f>
        <v>30</v>
      </c>
      <c r="U98" s="378">
        <f>VLOOKUP(Table2[[#This Row],[Course Title]],'TSD-Data'!$A$1:$F$70,5,FALSE)</f>
        <v>4</v>
      </c>
      <c r="V98" s="379">
        <v>187</v>
      </c>
      <c r="W98" s="377"/>
      <c r="X98" s="377"/>
      <c r="Y98" s="378"/>
      <c r="Z98" s="378"/>
      <c r="AA98" s="370"/>
      <c r="AB98" s="370"/>
      <c r="AC98" s="370"/>
      <c r="AD98" s="370"/>
      <c r="AE98" s="378">
        <f ca="1">Table2[[#This Row],[End Date]]+2-TODAY()</f>
        <v>194</v>
      </c>
      <c r="AF98" s="370">
        <f>IF(ISBLANK(Table2[[#This Row],[Roster Received by]]),1,0)</f>
        <v>1</v>
      </c>
      <c r="AG98" s="377">
        <f ca="1">IF(Table2[[#This Row],[Start Date]]&gt;TODAY(),1,)</f>
        <v>1</v>
      </c>
      <c r="AH98" s="377">
        <f>IF(ISBLANK(Table2[[#This Row],[Primary Instructor]]),0,1)</f>
        <v>1</v>
      </c>
      <c r="AI98" s="377">
        <f>IF(ISBLANK(Table2[[#This Row],[Instructor 2]]),0,1)</f>
        <v>0</v>
      </c>
      <c r="AJ98" s="377">
        <f>Table2[[#This Row],[Course Length (Hours)]]/(SUM(Table2[[#This Row],[1]:[2]]))</f>
        <v>30</v>
      </c>
      <c r="AK98" s="370"/>
      <c r="AL98" s="377">
        <v>1</v>
      </c>
      <c r="AM98" s="403" t="str">
        <f>VLOOKUP(Table2[[#This Row],[Course Title]],'TSD-Data'!$A$1:$G$70,7,FALSE)</f>
        <v>N5</v>
      </c>
    </row>
    <row r="99" spans="1:39" s="380" customFormat="1" x14ac:dyDescent="0.25">
      <c r="A99" s="368" t="s">
        <v>568</v>
      </c>
      <c r="B99" s="369" t="s">
        <v>395</v>
      </c>
      <c r="C99" s="370" t="str">
        <f>VLOOKUP(Table2[[#This Row],[Course Title]],'TSD-Data'!$A$1:$E$70,2,FALSE)</f>
        <v>A-493-3011</v>
      </c>
      <c r="D99" s="370" t="str">
        <f>VLOOKUP(Table2[[#This Row],[Course Title]],'TSD-Data'!$A$1:$E$70,3,FALSE)</f>
        <v>31VD</v>
      </c>
      <c r="E99" s="369" t="s">
        <v>86</v>
      </c>
      <c r="F99" s="371">
        <v>46006</v>
      </c>
      <c r="G99" s="371">
        <v>46006</v>
      </c>
      <c r="H99" s="371" t="s">
        <v>752</v>
      </c>
      <c r="I99" s="372"/>
      <c r="J99" s="372">
        <v>0.95833333333333337</v>
      </c>
      <c r="K99" s="372">
        <v>0.83333333333333337</v>
      </c>
      <c r="L99" s="372">
        <v>0.29166666666666669</v>
      </c>
      <c r="M99" s="372">
        <v>0.20833333333333334</v>
      </c>
      <c r="N99" s="372">
        <v>0.75</v>
      </c>
      <c r="O99" s="372">
        <v>0.54166666666666663</v>
      </c>
      <c r="P99" s="375" t="s">
        <v>325</v>
      </c>
      <c r="Q99" s="375"/>
      <c r="R99" s="376"/>
      <c r="S99" s="370">
        <f>VLOOKUP(Table2[[#This Row],[Course Title]],'TSD-Data'!$A$1:$E$70,4,FALSE)</f>
        <v>100</v>
      </c>
      <c r="T99" s="377">
        <f>VLOOKUP(Table2[[#This Row],[Course Title]],'TSD-Data'!$A$1:$F$70,6,FALSE)</f>
        <v>2.5</v>
      </c>
      <c r="U99" s="378">
        <f>VLOOKUP(Table2[[#This Row],[Course Title]],'TSD-Data'!$A$1:$F$70,5,FALSE)</f>
        <v>0.3</v>
      </c>
      <c r="V99" s="379">
        <v>0</v>
      </c>
      <c r="W99" s="377"/>
      <c r="X99" s="377"/>
      <c r="Y99" s="378"/>
      <c r="Z99" s="378"/>
      <c r="AA99" s="370"/>
      <c r="AB99" s="370"/>
      <c r="AC99" s="370"/>
      <c r="AD99" s="370"/>
      <c r="AE99" s="378">
        <f ca="1">Table2[[#This Row],[End Date]]+2-TODAY()</f>
        <v>190</v>
      </c>
      <c r="AF99" s="370">
        <f>IF(ISBLANK(Table2[[#This Row],[Roster Received by]]),1,0)</f>
        <v>1</v>
      </c>
      <c r="AG99" s="377">
        <f ca="1">IF(Table2[[#This Row],[Start Date]]&gt;TODAY(),1,)</f>
        <v>1</v>
      </c>
      <c r="AH99" s="377">
        <f>IF(ISBLANK(Table2[[#This Row],[Primary Instructor]]),0,1)</f>
        <v>1</v>
      </c>
      <c r="AI99" s="377">
        <f>IF(ISBLANK(Table2[[#This Row],[Instructor 2]]),0,1)</f>
        <v>0</v>
      </c>
      <c r="AJ99" s="377">
        <f>Table2[[#This Row],[Course Length (Hours)]]/(SUM(Table2[[#This Row],[1]:[2]]))</f>
        <v>2.5</v>
      </c>
      <c r="AK99" s="370"/>
      <c r="AL99" s="377">
        <v>1</v>
      </c>
      <c r="AM99" s="403" t="str">
        <f>VLOOKUP(Table2[[#This Row],[Course Title]],'TSD-Data'!$A$1:$G$70,7,FALSE)</f>
        <v>N1</v>
      </c>
    </row>
    <row r="100" spans="1:39" s="380" customFormat="1" x14ac:dyDescent="0.25">
      <c r="A100" s="368" t="s">
        <v>568</v>
      </c>
      <c r="B100" s="369" t="s">
        <v>391</v>
      </c>
      <c r="C100" s="370" t="str">
        <f>VLOOKUP(Table2[[#This Row],[Course Title]],'TSD-Data'!$A$1:$E$70,2,FALSE)</f>
        <v>A-493-3010</v>
      </c>
      <c r="D100" s="370" t="str">
        <f>VLOOKUP(Table2[[#This Row],[Course Title]],'TSD-Data'!$A$1:$E$70,3,FALSE)</f>
        <v>31VC</v>
      </c>
      <c r="E100" s="369" t="s">
        <v>86</v>
      </c>
      <c r="F100" s="371">
        <v>46006</v>
      </c>
      <c r="G100" s="371">
        <v>46006</v>
      </c>
      <c r="H100" s="371" t="s">
        <v>752</v>
      </c>
      <c r="I100" s="372"/>
      <c r="J100" s="372">
        <v>0.75</v>
      </c>
      <c r="K100" s="397">
        <v>0.625</v>
      </c>
      <c r="L100" s="372">
        <v>8.3333333333333329E-2</v>
      </c>
      <c r="M100" s="372">
        <v>0</v>
      </c>
      <c r="N100" s="372">
        <v>0.54166666666666663</v>
      </c>
      <c r="O100" s="372">
        <v>0.33333333333333331</v>
      </c>
      <c r="P100" s="375" t="s">
        <v>325</v>
      </c>
      <c r="Q100" s="375"/>
      <c r="R100" s="376"/>
      <c r="S100" s="370">
        <f>VLOOKUP(Table2[[#This Row],[Course Title]],'TSD-Data'!$A$1:$E$70,4,FALSE)</f>
        <v>100</v>
      </c>
      <c r="T100" s="377">
        <f>VLOOKUP(Table2[[#This Row],[Course Title]],'TSD-Data'!$A$1:$F$70,6,FALSE)</f>
        <v>3.5</v>
      </c>
      <c r="U100" s="378">
        <f>VLOOKUP(Table2[[#This Row],[Course Title]],'TSD-Data'!$A$1:$F$70,5,FALSE)</f>
        <v>0.4</v>
      </c>
      <c r="V100" s="379">
        <v>0</v>
      </c>
      <c r="W100" s="377"/>
      <c r="X100" s="377"/>
      <c r="Y100" s="378"/>
      <c r="Z100" s="378"/>
      <c r="AA100" s="370"/>
      <c r="AB100" s="370"/>
      <c r="AC100" s="370"/>
      <c r="AD100" s="370"/>
      <c r="AE100" s="378">
        <f ca="1">Table2[[#This Row],[End Date]]+2-TODAY()</f>
        <v>190</v>
      </c>
      <c r="AF100" s="370">
        <f>IF(ISBLANK(Table2[[#This Row],[Roster Received by]]),1,0)</f>
        <v>1</v>
      </c>
      <c r="AG100" s="377">
        <f ca="1">IF(Table2[[#This Row],[Start Date]]&gt;TODAY(),1,)</f>
        <v>1</v>
      </c>
      <c r="AH100" s="377">
        <f>IF(ISBLANK(Table2[[#This Row],[Primary Instructor]]),0,1)</f>
        <v>1</v>
      </c>
      <c r="AI100" s="377">
        <f>IF(ISBLANK(Table2[[#This Row],[Instructor 2]]),0,1)</f>
        <v>0</v>
      </c>
      <c r="AJ100" s="377">
        <f>Table2[[#This Row],[Course Length (Hours)]]/(SUM(Table2[[#This Row],[1]:[2]]))</f>
        <v>3.5</v>
      </c>
      <c r="AK100" s="370"/>
      <c r="AL100" s="377">
        <v>1</v>
      </c>
      <c r="AM100" s="403" t="str">
        <f>VLOOKUP(Table2[[#This Row],[Course Title]],'TSD-Data'!$A$1:$G$70,7,FALSE)</f>
        <v>N1</v>
      </c>
    </row>
    <row r="101" spans="1:39" s="380" customFormat="1" x14ac:dyDescent="0.25">
      <c r="A101" s="384" t="s">
        <v>471</v>
      </c>
      <c r="B101" s="435" t="s">
        <v>358</v>
      </c>
      <c r="C101" s="370" t="str">
        <f>VLOOKUP(Table2[[#This Row],[Course Title]],'TSD-Data'!$A$1:$E$70,2,FALSE)</f>
        <v>Function</v>
      </c>
      <c r="D101" s="370" t="str">
        <f>VLOOKUP(Table2[[#This Row],[Course Title]],'TSD-Data'!$A$1:$E$70,3,FALSE)</f>
        <v>Function</v>
      </c>
      <c r="E101" s="386" t="s">
        <v>169</v>
      </c>
      <c r="F101" s="485">
        <v>46007</v>
      </c>
      <c r="G101" s="485">
        <v>46007</v>
      </c>
      <c r="H101" s="371" t="s">
        <v>788</v>
      </c>
      <c r="I101" s="388"/>
      <c r="J101" s="388"/>
      <c r="K101" s="442"/>
      <c r="L101" s="388"/>
      <c r="M101" s="388"/>
      <c r="N101" s="388"/>
      <c r="O101" s="388"/>
      <c r="P101" s="386" t="s">
        <v>322</v>
      </c>
      <c r="Q101" s="386"/>
      <c r="R101" s="386"/>
      <c r="S101" s="370">
        <f>VLOOKUP(Table2[[#This Row],[Course Title]],'TSD-Data'!$A$1:$E$70,4,FALSE)</f>
        <v>0</v>
      </c>
      <c r="T101" s="377">
        <f>VLOOKUP(Table2[[#This Row],[Course Title]],'TSD-Data'!$A$1:$F$70,6,FALSE)</f>
        <v>0</v>
      </c>
      <c r="U101" s="378">
        <f>VLOOKUP(Table2[[#This Row],[Course Title]],'TSD-Data'!$A$1:$F$70,5,FALSE)</f>
        <v>0</v>
      </c>
      <c r="V101" s="389">
        <v>0</v>
      </c>
      <c r="W101" s="388">
        <v>0</v>
      </c>
      <c r="X101" s="388">
        <v>0</v>
      </c>
      <c r="Y101" s="388">
        <v>0</v>
      </c>
      <c r="Z101" s="388">
        <v>0</v>
      </c>
      <c r="AA101" s="388">
        <v>0</v>
      </c>
      <c r="AB101" s="388">
        <v>0</v>
      </c>
      <c r="AC101" s="388">
        <v>0</v>
      </c>
      <c r="AD101" s="388" t="s">
        <v>247</v>
      </c>
      <c r="AE101" s="379">
        <f ca="1">Table2[[#This Row],[End Date]]+2-TODAY()</f>
        <v>191</v>
      </c>
      <c r="AF101" s="388">
        <v>0</v>
      </c>
      <c r="AG101" s="388">
        <v>0</v>
      </c>
      <c r="AH101" s="388">
        <v>0</v>
      </c>
      <c r="AI101" s="388">
        <v>0</v>
      </c>
      <c r="AJ101" s="388" t="e">
        <v>#DIV/0!</v>
      </c>
      <c r="AK101" s="388">
        <v>0</v>
      </c>
      <c r="AL101" s="377">
        <v>1</v>
      </c>
      <c r="AM101" s="403" t="str">
        <f>VLOOKUP(Table2[[#This Row],[Course Title]],'TSD-Data'!$A$1:$G$70,7,FALSE)</f>
        <v>TSD</v>
      </c>
    </row>
    <row r="102" spans="1:39" s="380" customFormat="1" x14ac:dyDescent="0.25">
      <c r="A102" s="368" t="s">
        <v>568</v>
      </c>
      <c r="B102" s="432" t="s">
        <v>372</v>
      </c>
      <c r="C102" s="370" t="str">
        <f>VLOOKUP(Table2[[#This Row],[Course Title]],'TSD-Data'!$A$1:$E$70,2,FALSE)</f>
        <v>A-493-3004</v>
      </c>
      <c r="D102" s="370" t="str">
        <f>VLOOKUP(Table2[[#This Row],[Course Title]],'TSD-Data'!$A$1:$E$70,3,FALSE)</f>
        <v>31V6</v>
      </c>
      <c r="E102" s="369" t="s">
        <v>86</v>
      </c>
      <c r="F102" s="371">
        <v>46007</v>
      </c>
      <c r="G102" s="371">
        <v>46007</v>
      </c>
      <c r="H102" s="371" t="s">
        <v>752</v>
      </c>
      <c r="I102" s="372"/>
      <c r="J102" s="372">
        <v>0.95833333333333337</v>
      </c>
      <c r="K102" s="440">
        <v>0.83333333333333337</v>
      </c>
      <c r="L102" s="372">
        <v>0.29166666666666669</v>
      </c>
      <c r="M102" s="372">
        <v>0.20833333333333334</v>
      </c>
      <c r="N102" s="372">
        <v>0.75</v>
      </c>
      <c r="O102" s="372">
        <v>0.54166666666666663</v>
      </c>
      <c r="P102" s="375" t="s">
        <v>325</v>
      </c>
      <c r="Q102" s="375"/>
      <c r="R102" s="376"/>
      <c r="S102" s="370">
        <f>VLOOKUP(Table2[[#This Row],[Course Title]],'TSD-Data'!$A$1:$E$70,4,FALSE)</f>
        <v>100</v>
      </c>
      <c r="T102" s="377">
        <f>VLOOKUP(Table2[[#This Row],[Course Title]],'TSD-Data'!$A$1:$F$70,6,FALSE)</f>
        <v>1.5</v>
      </c>
      <c r="U102" s="378">
        <f>VLOOKUP(Table2[[#This Row],[Course Title]],'TSD-Data'!$A$1:$F$70,5,FALSE)</f>
        <v>0.2</v>
      </c>
      <c r="V102" s="379">
        <v>0</v>
      </c>
      <c r="W102" s="377"/>
      <c r="X102" s="377"/>
      <c r="Y102" s="378"/>
      <c r="Z102" s="378"/>
      <c r="AA102" s="370"/>
      <c r="AB102" s="370"/>
      <c r="AC102" s="370"/>
      <c r="AD102" s="370"/>
      <c r="AE102" s="378">
        <f ca="1">Table2[[#This Row],[End Date]]+2-TODAY()</f>
        <v>191</v>
      </c>
      <c r="AF102" s="370">
        <f>IF(ISBLANK(Table2[[#This Row],[Roster Received by]]),1,0)</f>
        <v>1</v>
      </c>
      <c r="AG102" s="377">
        <f ca="1">IF(Table2[[#This Row],[Start Date]]&gt;TODAY(),1,)</f>
        <v>1</v>
      </c>
      <c r="AH102" s="377">
        <f>IF(ISBLANK(Table2[[#This Row],[Primary Instructor]]),0,1)</f>
        <v>1</v>
      </c>
      <c r="AI102" s="377">
        <f>IF(ISBLANK(Table2[[#This Row],[Instructor 2]]),0,1)</f>
        <v>0</v>
      </c>
      <c r="AJ102" s="377">
        <f>Table2[[#This Row],[Course Length (Hours)]]/(SUM(Table2[[#This Row],[1]:[2]]))</f>
        <v>1.5</v>
      </c>
      <c r="AK102" s="370"/>
      <c r="AL102" s="377">
        <v>1</v>
      </c>
      <c r="AM102" s="403" t="str">
        <f>VLOOKUP(Table2[[#This Row],[Course Title]],'TSD-Data'!$A$1:$G$70,7,FALSE)</f>
        <v>N1</v>
      </c>
    </row>
    <row r="103" spans="1:39" s="380" customFormat="1" x14ac:dyDescent="0.25">
      <c r="A103" s="368" t="s">
        <v>568</v>
      </c>
      <c r="B103" s="432" t="s">
        <v>369</v>
      </c>
      <c r="C103" s="370" t="str">
        <f>VLOOKUP(Table2[[#This Row],[Course Title]],'TSD-Data'!$A$1:$E$70,2,FALSE)</f>
        <v>A-493-3003</v>
      </c>
      <c r="D103" s="370" t="str">
        <f>VLOOKUP(Table2[[#This Row],[Course Title]],'TSD-Data'!$A$1:$E$70,3,FALSE)</f>
        <v>31V5</v>
      </c>
      <c r="E103" s="369" t="s">
        <v>86</v>
      </c>
      <c r="F103" s="371">
        <v>46007</v>
      </c>
      <c r="G103" s="371">
        <v>46007</v>
      </c>
      <c r="H103" s="371" t="s">
        <v>752</v>
      </c>
      <c r="I103" s="372"/>
      <c r="J103" s="372">
        <v>0.85416666666666663</v>
      </c>
      <c r="K103" s="372">
        <v>0.72916666666666663</v>
      </c>
      <c r="L103" s="372">
        <v>0.1875</v>
      </c>
      <c r="M103" s="372">
        <v>0.10416666666666667</v>
      </c>
      <c r="N103" s="372">
        <v>0.64583333333333337</v>
      </c>
      <c r="O103" s="372">
        <v>0.4375</v>
      </c>
      <c r="P103" s="375" t="s">
        <v>325</v>
      </c>
      <c r="Q103" s="375"/>
      <c r="R103" s="376"/>
      <c r="S103" s="370">
        <f>VLOOKUP(Table2[[#This Row],[Course Title]],'TSD-Data'!$A$1:$E$70,4,FALSE)</f>
        <v>100</v>
      </c>
      <c r="T103" s="377">
        <f>VLOOKUP(Table2[[#This Row],[Course Title]],'TSD-Data'!$A$1:$F$70,6,FALSE)</f>
        <v>0.75</v>
      </c>
      <c r="U103" s="378">
        <f>VLOOKUP(Table2[[#This Row],[Course Title]],'TSD-Data'!$A$1:$F$70,5,FALSE)</f>
        <v>0.1</v>
      </c>
      <c r="V103" s="379">
        <v>0</v>
      </c>
      <c r="W103" s="377"/>
      <c r="X103" s="377"/>
      <c r="Y103" s="378"/>
      <c r="Z103" s="378"/>
      <c r="AA103" s="370"/>
      <c r="AB103" s="370"/>
      <c r="AC103" s="370"/>
      <c r="AD103" s="370"/>
      <c r="AE103" s="378">
        <f ca="1">Table2[[#This Row],[End Date]]+2-TODAY()</f>
        <v>191</v>
      </c>
      <c r="AF103" s="370">
        <f>IF(ISBLANK(Table2[[#This Row],[Roster Received by]]),1,0)</f>
        <v>1</v>
      </c>
      <c r="AG103" s="377">
        <f ca="1">IF(Table2[[#This Row],[Start Date]]&gt;TODAY(),1,)</f>
        <v>1</v>
      </c>
      <c r="AH103" s="377">
        <f>IF(ISBLANK(Table2[[#This Row],[Primary Instructor]]),0,1)</f>
        <v>1</v>
      </c>
      <c r="AI103" s="377">
        <f>IF(ISBLANK(Table2[[#This Row],[Instructor 2]]),0,1)</f>
        <v>0</v>
      </c>
      <c r="AJ103" s="377">
        <f>Table2[[#This Row],[Course Length (Hours)]]/(SUM(Table2[[#This Row],[1]:[2]]))</f>
        <v>0.75</v>
      </c>
      <c r="AK103" s="370"/>
      <c r="AL103" s="377">
        <v>1</v>
      </c>
      <c r="AM103" s="403" t="str">
        <f>VLOOKUP(Table2[[#This Row],[Course Title]],'TSD-Data'!$A$1:$G$70,7,FALSE)</f>
        <v>N1</v>
      </c>
    </row>
    <row r="104" spans="1:39" s="380" customFormat="1" x14ac:dyDescent="0.25">
      <c r="A104" s="368" t="s">
        <v>568</v>
      </c>
      <c r="B104" s="432" t="s">
        <v>361</v>
      </c>
      <c r="C104" s="370" t="str">
        <f>VLOOKUP(Table2[[#This Row],[Course Title]],'TSD-Data'!$A$1:$E$70,2,FALSE)</f>
        <v>A-493-3001</v>
      </c>
      <c r="D104" s="370" t="str">
        <f>VLOOKUP(Table2[[#This Row],[Course Title]],'TSD-Data'!$A$1:$E$70,3,FALSE)</f>
        <v>31V3</v>
      </c>
      <c r="E104" s="369" t="s">
        <v>86</v>
      </c>
      <c r="F104" s="371">
        <v>46007</v>
      </c>
      <c r="G104" s="371">
        <v>46007</v>
      </c>
      <c r="H104" s="371" t="s">
        <v>752</v>
      </c>
      <c r="I104" s="372"/>
      <c r="J104" s="372">
        <v>0.75</v>
      </c>
      <c r="K104" s="440">
        <v>0.625</v>
      </c>
      <c r="L104" s="372">
        <v>8.3333333333333329E-2</v>
      </c>
      <c r="M104" s="372">
        <v>0</v>
      </c>
      <c r="N104" s="372">
        <v>0.54166666666666663</v>
      </c>
      <c r="O104" s="372">
        <v>0.33333333333333331</v>
      </c>
      <c r="P104" s="375" t="s">
        <v>325</v>
      </c>
      <c r="Q104" s="375"/>
      <c r="R104" s="376"/>
      <c r="S104" s="370">
        <f>VLOOKUP(Table2[[#This Row],[Course Title]],'TSD-Data'!$A$1:$E$70,4,FALSE)</f>
        <v>100</v>
      </c>
      <c r="T104" s="377">
        <f>VLOOKUP(Table2[[#This Row],[Course Title]],'TSD-Data'!$A$1:$F$70,6,FALSE)</f>
        <v>2</v>
      </c>
      <c r="U104" s="378">
        <f>VLOOKUP(Table2[[#This Row],[Course Title]],'TSD-Data'!$A$1:$F$70,5,FALSE)</f>
        <v>0.25</v>
      </c>
      <c r="V104" s="379">
        <v>0</v>
      </c>
      <c r="W104" s="377"/>
      <c r="X104" s="377"/>
      <c r="Y104" s="378"/>
      <c r="Z104" s="378"/>
      <c r="AA104" s="370"/>
      <c r="AB104" s="370"/>
      <c r="AC104" s="370"/>
      <c r="AD104" s="370"/>
      <c r="AE104" s="378">
        <f ca="1">Table2[[#This Row],[End Date]]+2-TODAY()</f>
        <v>191</v>
      </c>
      <c r="AF104" s="370">
        <f>IF(ISBLANK(Table2[[#This Row],[Roster Received by]]),1,0)</f>
        <v>1</v>
      </c>
      <c r="AG104" s="377">
        <f ca="1">IF(Table2[[#This Row],[Start Date]]&gt;TODAY(),1,)</f>
        <v>1</v>
      </c>
      <c r="AH104" s="377">
        <f>IF(ISBLANK(Table2[[#This Row],[Primary Instructor]]),0,1)</f>
        <v>1</v>
      </c>
      <c r="AI104" s="377">
        <f>IF(ISBLANK(Table2[[#This Row],[Instructor 2]]),0,1)</f>
        <v>0</v>
      </c>
      <c r="AJ104" s="377">
        <f>Table2[[#This Row],[Course Length (Hours)]]/(SUM(Table2[[#This Row],[1]:[2]]))</f>
        <v>2</v>
      </c>
      <c r="AK104" s="370"/>
      <c r="AL104" s="377">
        <v>1</v>
      </c>
      <c r="AM104" s="403" t="str">
        <f>VLOOKUP(Table2[[#This Row],[Course Title]],'TSD-Data'!$A$1:$G$70,7,FALSE)</f>
        <v>N1</v>
      </c>
    </row>
    <row r="105" spans="1:39" s="380" customFormat="1" x14ac:dyDescent="0.25">
      <c r="A105" s="368" t="s">
        <v>568</v>
      </c>
      <c r="B105" s="432" t="s">
        <v>375</v>
      </c>
      <c r="C105" s="370" t="str">
        <f>VLOOKUP(Table2[[#This Row],[Course Title]],'TSD-Data'!$A$1:$E$70,2,FALSE)</f>
        <v>A-493-3005</v>
      </c>
      <c r="D105" s="370" t="str">
        <f>VLOOKUP(Table2[[#This Row],[Course Title]],'TSD-Data'!$A$1:$E$70,3,FALSE)</f>
        <v>31V7</v>
      </c>
      <c r="E105" s="369" t="s">
        <v>86</v>
      </c>
      <c r="F105" s="371">
        <v>46009</v>
      </c>
      <c r="G105" s="371">
        <v>46009</v>
      </c>
      <c r="H105" s="371" t="s">
        <v>752</v>
      </c>
      <c r="I105" s="372"/>
      <c r="J105" s="372">
        <v>0.95833333333333337</v>
      </c>
      <c r="K105" s="372">
        <v>0.83333333333333337</v>
      </c>
      <c r="L105" s="372">
        <v>0.29166666666666669</v>
      </c>
      <c r="M105" s="372">
        <v>0.20833333333333334</v>
      </c>
      <c r="N105" s="372">
        <v>0.75</v>
      </c>
      <c r="O105" s="372">
        <v>0.54166666666666663</v>
      </c>
      <c r="P105" s="375" t="s">
        <v>325</v>
      </c>
      <c r="Q105" s="375"/>
      <c r="R105" s="376"/>
      <c r="S105" s="370">
        <f>VLOOKUP(Table2[[#This Row],[Course Title]],'TSD-Data'!$A$1:$E$70,4,FALSE)</f>
        <v>100</v>
      </c>
      <c r="T105" s="377">
        <f>VLOOKUP(Table2[[#This Row],[Course Title]],'TSD-Data'!$A$1:$F$70,6,FALSE)</f>
        <v>2</v>
      </c>
      <c r="U105" s="378">
        <f>VLOOKUP(Table2[[#This Row],[Course Title]],'TSD-Data'!$A$1:$F$70,5,FALSE)</f>
        <v>0.25</v>
      </c>
      <c r="V105" s="379">
        <v>0</v>
      </c>
      <c r="W105" s="377"/>
      <c r="X105" s="377"/>
      <c r="Y105" s="378"/>
      <c r="Z105" s="378"/>
      <c r="AA105" s="370"/>
      <c r="AB105" s="370"/>
      <c r="AC105" s="370"/>
      <c r="AD105" s="370"/>
      <c r="AE105" s="378">
        <f ca="1">Table2[[#This Row],[End Date]]+2-TODAY()</f>
        <v>193</v>
      </c>
      <c r="AF105" s="370">
        <f>IF(ISBLANK(Table2[[#This Row],[Roster Received by]]),1,0)</f>
        <v>1</v>
      </c>
      <c r="AG105" s="377">
        <f ca="1">IF(Table2[[#This Row],[Start Date]]&gt;TODAY(),1,)</f>
        <v>1</v>
      </c>
      <c r="AH105" s="377">
        <f>IF(ISBLANK(Table2[[#This Row],[Primary Instructor]]),0,1)</f>
        <v>1</v>
      </c>
      <c r="AI105" s="377">
        <f>IF(ISBLANK(Table2[[#This Row],[Instructor 2]]),0,1)</f>
        <v>0</v>
      </c>
      <c r="AJ105" s="377">
        <f>Table2[[#This Row],[Course Length (Hours)]]/(SUM(Table2[[#This Row],[1]:[2]]))</f>
        <v>2</v>
      </c>
      <c r="AK105" s="370"/>
      <c r="AL105" s="377">
        <v>1</v>
      </c>
      <c r="AM105" s="403" t="str">
        <f>VLOOKUP(Table2[[#This Row],[Course Title]],'TSD-Data'!$A$1:$G$70,7,FALSE)</f>
        <v>N1</v>
      </c>
    </row>
    <row r="106" spans="1:39" s="380" customFormat="1" x14ac:dyDescent="0.25">
      <c r="A106" s="368" t="s">
        <v>568</v>
      </c>
      <c r="B106" s="432" t="s">
        <v>384</v>
      </c>
      <c r="C106" s="370" t="str">
        <f>VLOOKUP(Table2[[#This Row],[Course Title]],'TSD-Data'!$A$1:$E$70,2,FALSE)</f>
        <v>A-493-3008</v>
      </c>
      <c r="D106" s="370" t="str">
        <f>VLOOKUP(Table2[[#This Row],[Course Title]],'TSD-Data'!$A$1:$E$70,3,FALSE)</f>
        <v>31VA</v>
      </c>
      <c r="E106" s="369" t="s">
        <v>86</v>
      </c>
      <c r="F106" s="371">
        <v>46009</v>
      </c>
      <c r="G106" s="371">
        <v>46009</v>
      </c>
      <c r="H106" s="371" t="s">
        <v>752</v>
      </c>
      <c r="I106" s="372"/>
      <c r="J106" s="372">
        <v>0.75</v>
      </c>
      <c r="K106" s="372">
        <v>0.625</v>
      </c>
      <c r="L106" s="372">
        <v>8.3333333333333329E-2</v>
      </c>
      <c r="M106" s="372">
        <v>0</v>
      </c>
      <c r="N106" s="372">
        <v>0.54166666666666663</v>
      </c>
      <c r="O106" s="372">
        <v>0.33333333333333331</v>
      </c>
      <c r="P106" s="375" t="s">
        <v>325</v>
      </c>
      <c r="Q106" s="375"/>
      <c r="R106" s="376"/>
      <c r="S106" s="370">
        <f>VLOOKUP(Table2[[#This Row],[Course Title]],'TSD-Data'!$A$1:$E$70,4,FALSE)</f>
        <v>100</v>
      </c>
      <c r="T106" s="377">
        <f>VLOOKUP(Table2[[#This Row],[Course Title]],'TSD-Data'!$A$1:$F$70,6,FALSE)</f>
        <v>1</v>
      </c>
      <c r="U106" s="378">
        <f>VLOOKUP(Table2[[#This Row],[Course Title]],'TSD-Data'!$A$1:$F$70,5,FALSE)</f>
        <v>0.1</v>
      </c>
      <c r="V106" s="379">
        <v>0</v>
      </c>
      <c r="W106" s="377"/>
      <c r="X106" s="377"/>
      <c r="Y106" s="378"/>
      <c r="Z106" s="378"/>
      <c r="AA106" s="370"/>
      <c r="AB106" s="370"/>
      <c r="AC106" s="370"/>
      <c r="AD106" s="370"/>
      <c r="AE106" s="378">
        <f ca="1">Table2[[#This Row],[End Date]]+2-TODAY()</f>
        <v>193</v>
      </c>
      <c r="AF106" s="370">
        <f>IF(ISBLANK(Table2[[#This Row],[Roster Received by]]),1,0)</f>
        <v>1</v>
      </c>
      <c r="AG106" s="377">
        <f ca="1">IF(Table2[[#This Row],[Start Date]]&gt;TODAY(),1,)</f>
        <v>1</v>
      </c>
      <c r="AH106" s="377">
        <f>IF(ISBLANK(Table2[[#This Row],[Primary Instructor]]),0,1)</f>
        <v>1</v>
      </c>
      <c r="AI106" s="377">
        <f>IF(ISBLANK(Table2[[#This Row],[Instructor 2]]),0,1)</f>
        <v>0</v>
      </c>
      <c r="AJ106" s="377">
        <f>Table2[[#This Row],[Course Length (Hours)]]/(SUM(Table2[[#This Row],[1]:[2]]))</f>
        <v>1</v>
      </c>
      <c r="AK106" s="370"/>
      <c r="AL106" s="377">
        <v>1</v>
      </c>
      <c r="AM106" s="403" t="str">
        <f>VLOOKUP(Table2[[#This Row],[Course Title]],'TSD-Data'!$A$1:$G$70,7,FALSE)</f>
        <v>N1</v>
      </c>
    </row>
    <row r="107" spans="1:39" s="380" customFormat="1" x14ac:dyDescent="0.25">
      <c r="A107" s="368" t="s">
        <v>568</v>
      </c>
      <c r="B107" s="432" t="s">
        <v>388</v>
      </c>
      <c r="C107" s="370" t="str">
        <f>VLOOKUP(Table2[[#This Row],[Course Title]],'TSD-Data'!$A$1:$E$70,2,FALSE)</f>
        <v>A-493-3009</v>
      </c>
      <c r="D107" s="370" t="str">
        <f>VLOOKUP(Table2[[#This Row],[Course Title]],'TSD-Data'!$A$1:$E$70,3,FALSE)</f>
        <v>31VB</v>
      </c>
      <c r="E107" s="369" t="s">
        <v>86</v>
      </c>
      <c r="F107" s="371">
        <v>46009</v>
      </c>
      <c r="G107" s="371">
        <v>46009</v>
      </c>
      <c r="H107" s="371" t="s">
        <v>752</v>
      </c>
      <c r="I107" s="372"/>
      <c r="J107" s="372">
        <v>0.8125</v>
      </c>
      <c r="K107" s="372">
        <v>0.6875</v>
      </c>
      <c r="L107" s="372">
        <v>0.14583333333333334</v>
      </c>
      <c r="M107" s="372">
        <v>6.25E-2</v>
      </c>
      <c r="N107" s="372">
        <v>0.6875</v>
      </c>
      <c r="O107" s="372">
        <v>0.39583333333333331</v>
      </c>
      <c r="P107" s="375" t="s">
        <v>325</v>
      </c>
      <c r="Q107" s="375"/>
      <c r="R107" s="376"/>
      <c r="S107" s="370">
        <f>VLOOKUP(Table2[[#This Row],[Course Title]],'TSD-Data'!$A$1:$E$70,4,FALSE)</f>
        <v>100</v>
      </c>
      <c r="T107" s="377">
        <f>VLOOKUP(Table2[[#This Row],[Course Title]],'TSD-Data'!$A$1:$F$70,6,FALSE)</f>
        <v>1</v>
      </c>
      <c r="U107" s="378">
        <f>VLOOKUP(Table2[[#This Row],[Course Title]],'TSD-Data'!$A$1:$F$70,5,FALSE)</f>
        <v>0.1</v>
      </c>
      <c r="V107" s="379">
        <v>0</v>
      </c>
      <c r="W107" s="377"/>
      <c r="X107" s="377"/>
      <c r="Y107" s="378"/>
      <c r="Z107" s="378"/>
      <c r="AA107" s="370"/>
      <c r="AB107" s="370"/>
      <c r="AC107" s="370"/>
      <c r="AD107" s="370"/>
      <c r="AE107" s="378">
        <f ca="1">Table2[[#This Row],[End Date]]+2-TODAY()</f>
        <v>193</v>
      </c>
      <c r="AF107" s="370">
        <f>IF(ISBLANK(Table2[[#This Row],[Roster Received by]]),1,0)</f>
        <v>1</v>
      </c>
      <c r="AG107" s="377">
        <f ca="1">IF(Table2[[#This Row],[Start Date]]&gt;TODAY(),1,)</f>
        <v>1</v>
      </c>
      <c r="AH107" s="377">
        <f>IF(ISBLANK(Table2[[#This Row],[Primary Instructor]]),0,1)</f>
        <v>1</v>
      </c>
      <c r="AI107" s="377">
        <f>IF(ISBLANK(Table2[[#This Row],[Instructor 2]]),0,1)</f>
        <v>0</v>
      </c>
      <c r="AJ107" s="377">
        <f>Table2[[#This Row],[Course Length (Hours)]]/(SUM(Table2[[#This Row],[1]:[2]]))</f>
        <v>1</v>
      </c>
      <c r="AK107" s="370"/>
      <c r="AL107" s="377">
        <v>1</v>
      </c>
      <c r="AM107" s="403" t="str">
        <f>VLOOKUP(Table2[[#This Row],[Course Title]],'TSD-Data'!$A$1:$G$70,7,FALSE)</f>
        <v>N1</v>
      </c>
    </row>
    <row r="108" spans="1:39" s="380" customFormat="1" x14ac:dyDescent="0.25">
      <c r="A108" s="384" t="s">
        <v>480</v>
      </c>
      <c r="B108" s="386" t="s">
        <v>181</v>
      </c>
      <c r="C108" s="370" t="str">
        <f>VLOOKUP(Table2[[#This Row],[Course Title]],'TSD-Data'!$A$1:$E$70,2,FALSE)</f>
        <v>Holiday</v>
      </c>
      <c r="D108" s="370" t="str">
        <f>VLOOKUP(Table2[[#This Row],[Course Title]],'TSD-Data'!$A$1:$E$70,3,FALSE)</f>
        <v>Holiday</v>
      </c>
      <c r="E108" s="386" t="s">
        <v>181</v>
      </c>
      <c r="F108" s="387">
        <v>46016</v>
      </c>
      <c r="G108" s="387">
        <v>46016</v>
      </c>
      <c r="H108" s="371" t="s">
        <v>788</v>
      </c>
      <c r="I108" s="388"/>
      <c r="J108" s="388"/>
      <c r="K108" s="388"/>
      <c r="L108" s="388"/>
      <c r="M108" s="388"/>
      <c r="N108" s="388"/>
      <c r="O108" s="388"/>
      <c r="P108" s="386" t="s">
        <v>322</v>
      </c>
      <c r="Q108" s="386"/>
      <c r="R108" s="386"/>
      <c r="S108" s="370">
        <f>VLOOKUP(Table2[[#This Row],[Course Title]],'TSD-Data'!$A$1:$E$70,4,FALSE)</f>
        <v>0</v>
      </c>
      <c r="T108" s="377">
        <f>VLOOKUP(Table2[[#This Row],[Course Title]],'TSD-Data'!$A$1:$F$70,6,FALSE)</f>
        <v>0</v>
      </c>
      <c r="U108" s="378">
        <f>VLOOKUP(Table2[[#This Row],[Course Title]],'TSD-Data'!$A$1:$F$70,5,FALSE)</f>
        <v>0</v>
      </c>
      <c r="V108" s="389">
        <v>0</v>
      </c>
      <c r="W108" s="388">
        <v>0</v>
      </c>
      <c r="X108" s="388">
        <v>0</v>
      </c>
      <c r="Y108" s="388">
        <v>0</v>
      </c>
      <c r="Z108" s="388">
        <v>0</v>
      </c>
      <c r="AA108" s="388">
        <v>0</v>
      </c>
      <c r="AB108" s="388">
        <v>0</v>
      </c>
      <c r="AC108" s="388">
        <v>0</v>
      </c>
      <c r="AD108" s="388" t="s">
        <v>247</v>
      </c>
      <c r="AE108" s="379">
        <f ca="1">Table2[[#This Row],[End Date]]+2-TODAY()</f>
        <v>200</v>
      </c>
      <c r="AF108" s="388">
        <v>0</v>
      </c>
      <c r="AG108" s="388">
        <v>0</v>
      </c>
      <c r="AH108" s="388">
        <v>0</v>
      </c>
      <c r="AI108" s="388">
        <v>0</v>
      </c>
      <c r="AJ108" s="388" t="e">
        <v>#DIV/0!</v>
      </c>
      <c r="AK108" s="388">
        <v>0</v>
      </c>
      <c r="AL108" s="377">
        <v>1</v>
      </c>
      <c r="AM108" s="403" t="str">
        <f>VLOOKUP(Table2[[#This Row],[Course Title]],'TSD-Data'!$A$1:$G$70,7,FALSE)</f>
        <v>TSD</v>
      </c>
    </row>
    <row r="109" spans="1:39" s="380" customFormat="1" x14ac:dyDescent="0.25">
      <c r="A109" s="384" t="s">
        <v>481</v>
      </c>
      <c r="B109" s="386" t="s">
        <v>181</v>
      </c>
      <c r="C109" s="370" t="str">
        <f>VLOOKUP(Table2[[#This Row],[Course Title]],'TSD-Data'!$A$1:$E$70,2,FALSE)</f>
        <v>Holiday</v>
      </c>
      <c r="D109" s="370" t="str">
        <f>VLOOKUP(Table2[[#This Row],[Course Title]],'TSD-Data'!$A$1:$E$70,3,FALSE)</f>
        <v>Holiday</v>
      </c>
      <c r="E109" s="386" t="s">
        <v>181</v>
      </c>
      <c r="F109" s="387">
        <v>46023</v>
      </c>
      <c r="G109" s="387">
        <v>46023</v>
      </c>
      <c r="H109" s="371" t="s">
        <v>788</v>
      </c>
      <c r="I109" s="388"/>
      <c r="J109" s="388"/>
      <c r="K109" s="388"/>
      <c r="L109" s="388"/>
      <c r="M109" s="388"/>
      <c r="N109" s="388"/>
      <c r="O109" s="388"/>
      <c r="P109" s="386" t="s">
        <v>322</v>
      </c>
      <c r="Q109" s="386"/>
      <c r="R109" s="386"/>
      <c r="S109" s="370">
        <f>VLOOKUP(Table2[[#This Row],[Course Title]],'TSD-Data'!$A$1:$E$70,4,FALSE)</f>
        <v>0</v>
      </c>
      <c r="T109" s="377">
        <f>VLOOKUP(Table2[[#This Row],[Course Title]],'TSD-Data'!$A$1:$F$70,6,FALSE)</f>
        <v>0</v>
      </c>
      <c r="U109" s="378">
        <f>VLOOKUP(Table2[[#This Row],[Course Title]],'TSD-Data'!$A$1:$F$70,5,FALSE)</f>
        <v>0</v>
      </c>
      <c r="V109" s="389">
        <v>0</v>
      </c>
      <c r="W109" s="388">
        <v>0</v>
      </c>
      <c r="X109" s="388">
        <v>0</v>
      </c>
      <c r="Y109" s="388">
        <v>0</v>
      </c>
      <c r="Z109" s="388">
        <v>0</v>
      </c>
      <c r="AA109" s="388">
        <v>0</v>
      </c>
      <c r="AB109" s="388">
        <v>0</v>
      </c>
      <c r="AC109" s="388">
        <v>0</v>
      </c>
      <c r="AD109" s="388" t="s">
        <v>247</v>
      </c>
      <c r="AE109" s="379">
        <f ca="1">Table2[[#This Row],[End Date]]+2-TODAY()</f>
        <v>207</v>
      </c>
      <c r="AF109" s="388">
        <v>0</v>
      </c>
      <c r="AG109" s="388">
        <v>0</v>
      </c>
      <c r="AH109" s="388">
        <v>0</v>
      </c>
      <c r="AI109" s="388">
        <v>0</v>
      </c>
      <c r="AJ109" s="388" t="e">
        <v>#DIV/0!</v>
      </c>
      <c r="AK109" s="388">
        <v>0</v>
      </c>
      <c r="AL109" s="388">
        <v>2</v>
      </c>
      <c r="AM109" s="403" t="str">
        <f>VLOOKUP(Table2[[#This Row],[Course Title]],'TSD-Data'!$A$1:$G$70,7,FALSE)</f>
        <v>TSD</v>
      </c>
    </row>
    <row r="110" spans="1:39" s="380" customFormat="1" x14ac:dyDescent="0.25">
      <c r="A110" s="368"/>
      <c r="B110" s="432" t="s">
        <v>55</v>
      </c>
      <c r="C110" s="370" t="str">
        <f>VLOOKUP(Table2[[#This Row],[Course Title]],'TSD-Data'!$A$1:$E$70,2,FALSE)</f>
        <v>A-493-0103</v>
      </c>
      <c r="D110" s="370" t="str">
        <f>VLOOKUP(Table2[[#This Row],[Course Title]],'TSD-Data'!$A$1:$E$70,3,FALSE)</f>
        <v>12JY</v>
      </c>
      <c r="E110" s="369" t="s">
        <v>157</v>
      </c>
      <c r="F110" s="437">
        <v>46027</v>
      </c>
      <c r="G110" s="437">
        <v>46031</v>
      </c>
      <c r="H110" s="371" t="s">
        <v>752</v>
      </c>
      <c r="I110" s="372">
        <v>0.33333333333333331</v>
      </c>
      <c r="J110" s="372"/>
      <c r="K110" s="437"/>
      <c r="L110" s="371"/>
      <c r="M110" s="371"/>
      <c r="N110" s="371"/>
      <c r="O110" s="371"/>
      <c r="P110" s="375" t="s">
        <v>289</v>
      </c>
      <c r="Q110" s="375"/>
      <c r="R110" s="376"/>
      <c r="S110" s="370">
        <f>VLOOKUP(Table2[[#This Row],[Course Title]],'TSD-Data'!$A$1:$E$70,4,FALSE)</f>
        <v>25</v>
      </c>
      <c r="T110" s="377">
        <f>VLOOKUP(Table2[[#This Row],[Course Title]],'TSD-Data'!$A$1:$F$70,6,FALSE)</f>
        <v>40</v>
      </c>
      <c r="U110" s="378">
        <f>VLOOKUP(Table2[[#This Row],[Course Title]],'TSD-Data'!$A$1:$F$70,5,FALSE)</f>
        <v>5</v>
      </c>
      <c r="V110" s="379">
        <v>90</v>
      </c>
      <c r="W110" s="377"/>
      <c r="X110" s="377"/>
      <c r="Y110" s="378"/>
      <c r="Z110" s="378"/>
      <c r="AA110" s="370"/>
      <c r="AB110" s="370"/>
      <c r="AC110" s="370"/>
      <c r="AD110" s="370"/>
      <c r="AE110" s="378">
        <f ca="1">Table2[[#This Row],[End Date]]+2-TODAY()</f>
        <v>215</v>
      </c>
      <c r="AF110" s="370">
        <f>IF(ISBLANK(Table2[[#This Row],[Roster Received by]]),1,0)</f>
        <v>1</v>
      </c>
      <c r="AG110" s="377">
        <f ca="1">IF(Table2[[#This Row],[Start Date]]&gt;TODAY(),1,)</f>
        <v>1</v>
      </c>
      <c r="AH110" s="377">
        <f>IF(ISBLANK(Table2[[#This Row],[Primary Instructor]]),0,1)</f>
        <v>1</v>
      </c>
      <c r="AI110" s="377">
        <f>IF(ISBLANK(Table2[[#This Row],[Instructor 2]]),0,1)</f>
        <v>0</v>
      </c>
      <c r="AJ110" s="377">
        <f>Table2[[#This Row],[Course Length (Hours)]]/(SUM(Table2[[#This Row],[1]:[2]]))</f>
        <v>40</v>
      </c>
      <c r="AK110" s="370"/>
      <c r="AL110" s="388">
        <v>2</v>
      </c>
      <c r="AM110" s="403" t="str">
        <f>VLOOKUP(Table2[[#This Row],[Course Title]],'TSD-Data'!$A$1:$G$70,7,FALSE)</f>
        <v>N5</v>
      </c>
    </row>
    <row r="111" spans="1:39" s="380" customFormat="1" x14ac:dyDescent="0.25">
      <c r="A111" s="425" t="s">
        <v>706</v>
      </c>
      <c r="B111" s="401" t="s">
        <v>17</v>
      </c>
      <c r="C111" s="370" t="str">
        <f>VLOOKUP(Table2[[#This Row],[Course Title]],'TSD-Data'!$A$1:$E$70,2,FALSE)</f>
        <v>A-493-0012</v>
      </c>
      <c r="D111" s="370">
        <f>VLOOKUP(Table2[[#This Row],[Course Title]],'TSD-Data'!$A$1:$E$70,3,FALSE)</f>
        <v>3682</v>
      </c>
      <c r="E111" s="401" t="s">
        <v>174</v>
      </c>
      <c r="F111" s="426">
        <v>46027</v>
      </c>
      <c r="G111" s="426">
        <v>46031</v>
      </c>
      <c r="H111" s="371" t="s">
        <v>752</v>
      </c>
      <c r="I111" s="372">
        <v>0.33333333333333331</v>
      </c>
      <c r="J111" s="372"/>
      <c r="K111" s="393"/>
      <c r="L111" s="371"/>
      <c r="M111" s="371"/>
      <c r="N111" s="371"/>
      <c r="O111" s="371"/>
      <c r="P111" s="375" t="s">
        <v>241</v>
      </c>
      <c r="Q111" s="375"/>
      <c r="R111" s="376"/>
      <c r="S111" s="370">
        <f>VLOOKUP(Table2[[#This Row],[Course Title]],'TSD-Data'!$A$1:$E$70,4,FALSE)</f>
        <v>40</v>
      </c>
      <c r="T111" s="377">
        <f>VLOOKUP(Table2[[#This Row],[Course Title]],'TSD-Data'!$A$1:$F$70,6,FALSE)</f>
        <v>40</v>
      </c>
      <c r="U111" s="378">
        <f>VLOOKUP(Table2[[#This Row],[Course Title]],'TSD-Data'!$A$1:$F$70,5,FALSE)</f>
        <v>5</v>
      </c>
      <c r="V111" s="377">
        <v>45</v>
      </c>
      <c r="W111" s="377"/>
      <c r="X111" s="377"/>
      <c r="Y111" s="378"/>
      <c r="Z111" s="378"/>
      <c r="AA111" s="370"/>
      <c r="AB111" s="370"/>
      <c r="AC111" s="370"/>
      <c r="AD111" s="370"/>
      <c r="AE111" s="378" t="e">
        <v>#REF!</v>
      </c>
      <c r="AF111" s="370">
        <v>1</v>
      </c>
      <c r="AG111" s="377" t="e">
        <v>#REF!</v>
      </c>
      <c r="AH111" s="377">
        <v>1</v>
      </c>
      <c r="AI111" s="377">
        <v>0</v>
      </c>
      <c r="AJ111" s="377">
        <v>8</v>
      </c>
      <c r="AK111" s="370"/>
      <c r="AL111" s="388">
        <v>2</v>
      </c>
      <c r="AM111" s="403" t="str">
        <f>VLOOKUP(Table2[[#This Row],[Course Title]],'TSD-Data'!$A$1:$G$70,7,FALSE)</f>
        <v>N4</v>
      </c>
    </row>
    <row r="112" spans="1:39" s="380" customFormat="1" x14ac:dyDescent="0.25">
      <c r="A112" s="368"/>
      <c r="B112" s="369" t="s">
        <v>120</v>
      </c>
      <c r="C112" s="370" t="str">
        <f>VLOOKUP(Table2[[#This Row],[Course Title]],'TSD-Data'!$A$1:$E$70,2,FALSE)</f>
        <v>A-322-2604</v>
      </c>
      <c r="D112" s="370" t="str">
        <f>VLOOKUP(Table2[[#This Row],[Course Title]],'TSD-Data'!$A$1:$E$70,3,FALSE)</f>
        <v>10ZZ</v>
      </c>
      <c r="E112" s="369" t="s">
        <v>86</v>
      </c>
      <c r="F112" s="371">
        <v>46027</v>
      </c>
      <c r="G112" s="371">
        <v>46029</v>
      </c>
      <c r="H112" s="371" t="s">
        <v>752</v>
      </c>
      <c r="I112" s="372"/>
      <c r="J112" s="372">
        <v>0.33333333333333331</v>
      </c>
      <c r="K112" s="372">
        <v>0.20833333333333334</v>
      </c>
      <c r="L112" s="388">
        <v>1600</v>
      </c>
      <c r="M112" s="388">
        <v>1400</v>
      </c>
      <c r="N112" s="372">
        <v>0.125</v>
      </c>
      <c r="O112" s="388">
        <v>2200</v>
      </c>
      <c r="P112" s="375" t="s">
        <v>248</v>
      </c>
      <c r="Q112" s="375"/>
      <c r="R112" s="376"/>
      <c r="S112" s="370">
        <f>VLOOKUP(Table2[[#This Row],[Course Title]],'TSD-Data'!$A$1:$E$70,4,FALSE)</f>
        <v>45</v>
      </c>
      <c r="T112" s="377">
        <f>VLOOKUP(Table2[[#This Row],[Course Title]],'TSD-Data'!$A$1:$F$70,6,FALSE)</f>
        <v>24</v>
      </c>
      <c r="U112" s="378">
        <f>VLOOKUP(Table2[[#This Row],[Course Title]],'TSD-Data'!$A$1:$F$70,5,FALSE)</f>
        <v>3</v>
      </c>
      <c r="V112" s="379">
        <v>316</v>
      </c>
      <c r="W112" s="377"/>
      <c r="X112" s="377"/>
      <c r="Y112" s="378"/>
      <c r="Z112" s="378"/>
      <c r="AA112" s="370"/>
      <c r="AB112" s="370"/>
      <c r="AC112" s="370"/>
      <c r="AD112" s="370"/>
      <c r="AE112" s="378">
        <f ca="1">Table2[[#This Row],[End Date]]+2-TODAY()</f>
        <v>213</v>
      </c>
      <c r="AF112" s="370">
        <f>IF(ISBLANK(Table2[[#This Row],[Roster Received by]]),1,0)</f>
        <v>1</v>
      </c>
      <c r="AG112" s="377">
        <f ca="1">IF(Table2[[#This Row],[Start Date]]&gt;TODAY(),1,)</f>
        <v>1</v>
      </c>
      <c r="AH112" s="377">
        <f>IF(ISBLANK(Table2[[#This Row],[Primary Instructor]]),0,1)</f>
        <v>1</v>
      </c>
      <c r="AI112" s="377">
        <f>IF(ISBLANK(Table2[[#This Row],[Instructor 2]]),0,1)</f>
        <v>0</v>
      </c>
      <c r="AJ112" s="377">
        <f>Table2[[#This Row],[Course Length (Hours)]]/(SUM(Table2[[#This Row],[1]:[2]]))</f>
        <v>24</v>
      </c>
      <c r="AK112" s="370"/>
      <c r="AL112" s="388">
        <v>2</v>
      </c>
      <c r="AM112" s="403" t="str">
        <f>VLOOKUP(Table2[[#This Row],[Course Title]],'TSD-Data'!$A$1:$G$70,7,FALSE)</f>
        <v>N3</v>
      </c>
    </row>
    <row r="113" spans="1:39" s="380" customFormat="1" x14ac:dyDescent="0.25">
      <c r="A113" s="368" t="s">
        <v>569</v>
      </c>
      <c r="B113" s="369" t="s">
        <v>53</v>
      </c>
      <c r="C113" s="370" t="str">
        <f>VLOOKUP(Table2[[#This Row],[Course Title]],'TSD-Data'!$A$1:$E$70,2,FALSE)</f>
        <v>A-493-0072</v>
      </c>
      <c r="D113" s="370" t="str">
        <f>VLOOKUP(Table2[[#This Row],[Course Title]],'TSD-Data'!$A$1:$E$70,3,FALSE)</f>
        <v>713U</v>
      </c>
      <c r="E113" s="369" t="s">
        <v>158</v>
      </c>
      <c r="F113" s="371">
        <v>46027</v>
      </c>
      <c r="G113" s="371">
        <v>46031</v>
      </c>
      <c r="H113" s="371" t="s">
        <v>752</v>
      </c>
      <c r="I113" s="372">
        <v>0.33333333333333331</v>
      </c>
      <c r="J113" s="372"/>
      <c r="K113" s="371"/>
      <c r="L113" s="371"/>
      <c r="M113" s="371"/>
      <c r="N113" s="371"/>
      <c r="O113" s="371"/>
      <c r="P113" s="375" t="s">
        <v>292</v>
      </c>
      <c r="Q113" s="375"/>
      <c r="R113" s="376" t="s">
        <v>252</v>
      </c>
      <c r="S113" s="370">
        <f>VLOOKUP(Table2[[#This Row],[Course Title]],'TSD-Data'!$A$1:$E$70,4,FALSE)</f>
        <v>30</v>
      </c>
      <c r="T113" s="377">
        <f>VLOOKUP(Table2[[#This Row],[Course Title]],'TSD-Data'!$A$1:$F$70,6,FALSE)</f>
        <v>40</v>
      </c>
      <c r="U113" s="378">
        <f>VLOOKUP(Table2[[#This Row],[Course Title]],'TSD-Data'!$A$1:$F$70,5,FALSE)</f>
        <v>5</v>
      </c>
      <c r="V113" s="379">
        <v>36</v>
      </c>
      <c r="W113" s="377"/>
      <c r="X113" s="377"/>
      <c r="Y113" s="378"/>
      <c r="Z113" s="378"/>
      <c r="AA113" s="370"/>
      <c r="AB113" s="370"/>
      <c r="AC113" s="370"/>
      <c r="AD113" s="370"/>
      <c r="AE113" s="378">
        <f ca="1">Table2[[#This Row],[End Date]]+2-TODAY()</f>
        <v>215</v>
      </c>
      <c r="AF113" s="370">
        <f>IF(ISBLANK(Table2[[#This Row],[Roster Received by]]),1,0)</f>
        <v>1</v>
      </c>
      <c r="AG113" s="377">
        <f ca="1">IF(Table2[[#This Row],[Start Date]]&gt;TODAY(),1,)</f>
        <v>1</v>
      </c>
      <c r="AH113" s="377">
        <f>IF(ISBLANK(Table2[[#This Row],[Primary Instructor]]),0,1)</f>
        <v>1</v>
      </c>
      <c r="AI113" s="377">
        <f>IF(ISBLANK(Table2[[#This Row],[Instructor 2]]),0,1)</f>
        <v>0</v>
      </c>
      <c r="AJ113" s="377">
        <f>Table2[[#This Row],[Course Length (Hours)]]/(SUM(Table2[[#This Row],[1]:[2]]))</f>
        <v>40</v>
      </c>
      <c r="AK113" s="370"/>
      <c r="AL113" s="388">
        <v>2</v>
      </c>
      <c r="AM113" s="403" t="str">
        <f>VLOOKUP(Table2[[#This Row],[Course Title]],'TSD-Data'!$A$1:$G$70,7,FALSE)</f>
        <v>N3</v>
      </c>
    </row>
    <row r="114" spans="1:39" s="380" customFormat="1" x14ac:dyDescent="0.25">
      <c r="A114" s="368"/>
      <c r="B114" s="369" t="s">
        <v>40</v>
      </c>
      <c r="C114" s="370" t="str">
        <f>VLOOKUP(Table2[[#This Row],[Course Title]],'TSD-Data'!$A$1:$E$70,2,FALSE)</f>
        <v>A-493-2098</v>
      </c>
      <c r="D114" s="370" t="str">
        <f>VLOOKUP(Table2[[#This Row],[Course Title]],'TSD-Data'!$A$1:$E$70,3,FALSE)</f>
        <v>09WW</v>
      </c>
      <c r="E114" s="369" t="s">
        <v>86</v>
      </c>
      <c r="F114" s="371">
        <v>46027</v>
      </c>
      <c r="G114" s="371">
        <v>46029</v>
      </c>
      <c r="H114" s="371" t="s">
        <v>752</v>
      </c>
      <c r="I114" s="372"/>
      <c r="J114" s="381">
        <v>0.5</v>
      </c>
      <c r="K114" s="394">
        <v>0.375</v>
      </c>
      <c r="L114" s="381">
        <v>0.83333333333333337</v>
      </c>
      <c r="M114" s="381">
        <v>0.75</v>
      </c>
      <c r="N114" s="381">
        <v>0.29166666666666669</v>
      </c>
      <c r="O114" s="381">
        <v>8.3333333333333329E-2</v>
      </c>
      <c r="P114" s="375" t="s">
        <v>244</v>
      </c>
      <c r="Q114" s="375"/>
      <c r="R114" s="376"/>
      <c r="S114" s="370">
        <f>VLOOKUP(Table2[[#This Row],[Course Title]],'TSD-Data'!$A$1:$E$70,4,FALSE)</f>
        <v>100</v>
      </c>
      <c r="T114" s="377">
        <f>VLOOKUP(Table2[[#This Row],[Course Title]],'TSD-Data'!$A$1:$F$70,6,FALSE)</f>
        <v>16</v>
      </c>
      <c r="U114" s="378">
        <f>VLOOKUP(Table2[[#This Row],[Course Title]],'TSD-Data'!$A$1:$F$70,5,FALSE)</f>
        <v>3</v>
      </c>
      <c r="V114" s="379">
        <v>1882</v>
      </c>
      <c r="W114" s="377"/>
      <c r="X114" s="377"/>
      <c r="Y114" s="378"/>
      <c r="Z114" s="378"/>
      <c r="AA114" s="370"/>
      <c r="AB114" s="370"/>
      <c r="AC114" s="370"/>
      <c r="AD114" s="370"/>
      <c r="AE114" s="378">
        <f ca="1">Table2[[#This Row],[End Date]]+2-TODAY()</f>
        <v>213</v>
      </c>
      <c r="AF114" s="370">
        <f>IF(ISBLANK(Table2[[#This Row],[Roster Received by]]),1,0)</f>
        <v>1</v>
      </c>
      <c r="AG114" s="377">
        <f ca="1">IF(Table2[[#This Row],[Start Date]]&gt;TODAY(),1,)</f>
        <v>1</v>
      </c>
      <c r="AH114" s="377">
        <f>IF(ISBLANK(Table2[[#This Row],[Primary Instructor]]),0,1)</f>
        <v>1</v>
      </c>
      <c r="AI114" s="377">
        <f>IF(ISBLANK(Table2[[#This Row],[Instructor 2]]),0,1)</f>
        <v>0</v>
      </c>
      <c r="AJ114" s="377">
        <f>Table2[[#This Row],[Course Length (Hours)]]/(SUM(Table2[[#This Row],[1]:[2]]))</f>
        <v>16</v>
      </c>
      <c r="AK114" s="370"/>
      <c r="AL114" s="388">
        <v>2</v>
      </c>
      <c r="AM114" s="403" t="str">
        <f>VLOOKUP(Table2[[#This Row],[Course Title]],'TSD-Data'!$A$1:$G$70,7,FALSE)</f>
        <v>N1</v>
      </c>
    </row>
    <row r="115" spans="1:39" s="380" customFormat="1" x14ac:dyDescent="0.25">
      <c r="A115" s="368"/>
      <c r="B115" s="369" t="s">
        <v>61</v>
      </c>
      <c r="C115" s="370" t="str">
        <f>VLOOKUP(Table2[[#This Row],[Course Title]],'TSD-Data'!$A$1:$E$70,2,FALSE)</f>
        <v>A-493-0078</v>
      </c>
      <c r="D115" s="370">
        <f>VLOOKUP(Table2[[#This Row],[Course Title]],'TSD-Data'!$A$1:$E$70,3,FALSE)</f>
        <v>1228</v>
      </c>
      <c r="E115" s="369" t="s">
        <v>86</v>
      </c>
      <c r="F115" s="371">
        <v>46028</v>
      </c>
      <c r="G115" s="371">
        <v>46031</v>
      </c>
      <c r="H115" s="371" t="s">
        <v>752</v>
      </c>
      <c r="I115" s="372"/>
      <c r="J115" s="381">
        <v>0.5</v>
      </c>
      <c r="K115" s="381">
        <v>0.375</v>
      </c>
      <c r="L115" s="381">
        <v>0.83333333333333337</v>
      </c>
      <c r="M115" s="381">
        <v>0.75</v>
      </c>
      <c r="N115" s="381">
        <v>0.29166666666666669</v>
      </c>
      <c r="O115" s="381">
        <v>8.3333333333333329E-2</v>
      </c>
      <c r="P115" s="375" t="s">
        <v>256</v>
      </c>
      <c r="Q115" s="375"/>
      <c r="R115" s="376"/>
      <c r="S115" s="370">
        <f>VLOOKUP(Table2[[#This Row],[Course Title]],'TSD-Data'!$A$1:$E$70,4,FALSE)</f>
        <v>45</v>
      </c>
      <c r="T115" s="377">
        <f>VLOOKUP(Table2[[#This Row],[Course Title]],'TSD-Data'!$A$1:$F$70,6,FALSE)</f>
        <v>32</v>
      </c>
      <c r="U115" s="378">
        <f>VLOOKUP(Table2[[#This Row],[Course Title]],'TSD-Data'!$A$1:$F$70,5,FALSE)</f>
        <v>4</v>
      </c>
      <c r="V115" s="379">
        <v>568</v>
      </c>
      <c r="W115" s="377"/>
      <c r="X115" s="377"/>
      <c r="Y115" s="378"/>
      <c r="Z115" s="378"/>
      <c r="AA115" s="370"/>
      <c r="AB115" s="370"/>
      <c r="AC115" s="370"/>
      <c r="AD115" s="370"/>
      <c r="AE115" s="378">
        <f ca="1">Table2[[#This Row],[End Date]]+2-TODAY()</f>
        <v>215</v>
      </c>
      <c r="AF115" s="370">
        <f>IF(ISBLANK(Table2[[#This Row],[Roster Received by]]),1,0)</f>
        <v>1</v>
      </c>
      <c r="AG115" s="377">
        <f ca="1">IF(Table2[[#This Row],[Start Date]]&gt;TODAY(),1,)</f>
        <v>1</v>
      </c>
      <c r="AH115" s="377">
        <f>IF(ISBLANK(Table2[[#This Row],[Primary Instructor]]),0,1)</f>
        <v>1</v>
      </c>
      <c r="AI115" s="377">
        <f>IF(ISBLANK(Table2[[#This Row],[Instructor 2]]),0,1)</f>
        <v>0</v>
      </c>
      <c r="AJ115" s="377">
        <f>Table2[[#This Row],[Course Length (Hours)]]/(SUM(Table2[[#This Row],[1]:[2]]))</f>
        <v>32</v>
      </c>
      <c r="AK115" s="370"/>
      <c r="AL115" s="388">
        <v>2</v>
      </c>
      <c r="AM115" s="403" t="str">
        <f>VLOOKUP(Table2[[#This Row],[Course Title]],'TSD-Data'!$A$1:$G$70,7,FALSE)</f>
        <v>N5</v>
      </c>
    </row>
    <row r="116" spans="1:39" s="380" customFormat="1" x14ac:dyDescent="0.25">
      <c r="A116" s="369"/>
      <c r="B116" s="432" t="s">
        <v>15</v>
      </c>
      <c r="C116" s="370" t="str">
        <f>VLOOKUP(Table2[[#This Row],[Course Title]],'TSD-Data'!$A$1:$E$70,2,FALSE)</f>
        <v>A-4J-0022</v>
      </c>
      <c r="D116" s="370" t="str">
        <f>VLOOKUP(Table2[[#This Row],[Course Title]],'TSD-Data'!$A$1:$E$70,3,FALSE)</f>
        <v>09ER</v>
      </c>
      <c r="E116" s="369" t="s">
        <v>86</v>
      </c>
      <c r="F116" s="371">
        <v>46034</v>
      </c>
      <c r="G116" s="371">
        <v>46038</v>
      </c>
      <c r="H116" s="371" t="s">
        <v>752</v>
      </c>
      <c r="I116" s="372"/>
      <c r="J116" s="439">
        <v>0.5</v>
      </c>
      <c r="K116" s="439">
        <v>0.375</v>
      </c>
      <c r="L116" s="439">
        <v>0.83333333333333337</v>
      </c>
      <c r="M116" s="439">
        <v>0.75</v>
      </c>
      <c r="N116" s="439">
        <v>0.29166666666666669</v>
      </c>
      <c r="O116" s="439">
        <v>8.3333333333333329E-2</v>
      </c>
      <c r="P116" s="375" t="s">
        <v>238</v>
      </c>
      <c r="Q116" s="375"/>
      <c r="R116" s="375"/>
      <c r="S116" s="370">
        <f>VLOOKUP(Table2[[#This Row],[Course Title]],'TSD-Data'!$A$1:$E$70,4,FALSE)</f>
        <v>45</v>
      </c>
      <c r="T116" s="377">
        <f>VLOOKUP(Table2[[#This Row],[Course Title]],'TSD-Data'!$A$1:$F$70,6,FALSE)</f>
        <v>16</v>
      </c>
      <c r="U116" s="378">
        <f>VLOOKUP(Table2[[#This Row],[Course Title]],'TSD-Data'!$A$1:$F$70,5,FALSE)</f>
        <v>2</v>
      </c>
      <c r="V116" s="379">
        <v>130</v>
      </c>
      <c r="W116" s="377"/>
      <c r="X116" s="377"/>
      <c r="Y116" s="379"/>
      <c r="Z116" s="379"/>
      <c r="AA116" s="377"/>
      <c r="AB116" s="377"/>
      <c r="AC116" s="377"/>
      <c r="AD116" s="377"/>
      <c r="AE116" s="379">
        <f ca="1">Table2[[#This Row],[End Date]]+2-TODAY()</f>
        <v>222</v>
      </c>
      <c r="AF116" s="377">
        <f>IF(ISBLANK(Table2[[#This Row],[Roster Received by]]),1,0)</f>
        <v>1</v>
      </c>
      <c r="AG116" s="377">
        <f ca="1">IF(Table2[[#This Row],[Start Date]]&gt;TODAY(),1,)</f>
        <v>1</v>
      </c>
      <c r="AH116" s="377">
        <f>IF(ISBLANK(Table2[[#This Row],[Primary Instructor]]),0,1)</f>
        <v>1</v>
      </c>
      <c r="AI116" s="377">
        <f>IF(ISBLANK(Table2[[#This Row],[Instructor 2]]),0,1)</f>
        <v>0</v>
      </c>
      <c r="AJ116" s="377">
        <f>Table2[[#This Row],[Course Length (Hours)]]/(SUM(Table2[[#This Row],[1]:[2]]))</f>
        <v>16</v>
      </c>
      <c r="AK116" s="377"/>
      <c r="AL116" s="388">
        <v>2</v>
      </c>
      <c r="AM116" s="403" t="str">
        <f>VLOOKUP(Table2[[#This Row],[Course Title]],'TSD-Data'!$A$1:$G$70,7,FALSE)</f>
        <v>N4</v>
      </c>
    </row>
    <row r="117" spans="1:39" s="380" customFormat="1" x14ac:dyDescent="0.25">
      <c r="A117" s="368"/>
      <c r="B117" s="432" t="s">
        <v>37</v>
      </c>
      <c r="C117" s="370" t="str">
        <f>VLOOKUP(Table2[[#This Row],[Course Title]],'TSD-Data'!$A$1:$E$70,2,FALSE)</f>
        <v>A-493-0665</v>
      </c>
      <c r="D117" s="370" t="str">
        <f>VLOOKUP(Table2[[#This Row],[Course Title]],'TSD-Data'!$A$1:$E$70,3,FALSE)</f>
        <v>10KW</v>
      </c>
      <c r="E117" s="369" t="s">
        <v>86</v>
      </c>
      <c r="F117" s="371">
        <v>46034</v>
      </c>
      <c r="G117" s="371">
        <v>46036</v>
      </c>
      <c r="H117" s="371" t="s">
        <v>752</v>
      </c>
      <c r="I117" s="372"/>
      <c r="J117" s="372">
        <v>0.33333333333333331</v>
      </c>
      <c r="K117" s="372">
        <v>0.20833333333333334</v>
      </c>
      <c r="L117" s="388">
        <v>1600</v>
      </c>
      <c r="M117" s="388">
        <v>1400</v>
      </c>
      <c r="N117" s="372">
        <v>0.125</v>
      </c>
      <c r="O117" s="388">
        <v>2200</v>
      </c>
      <c r="P117" s="375" t="s">
        <v>248</v>
      </c>
      <c r="Q117" s="375"/>
      <c r="R117" s="376"/>
      <c r="S117" s="370">
        <f>VLOOKUP(Table2[[#This Row],[Course Title]],'TSD-Data'!$A$1:$E$70,4,FALSE)</f>
        <v>45</v>
      </c>
      <c r="T117" s="377">
        <f>VLOOKUP(Table2[[#This Row],[Course Title]],'TSD-Data'!$A$1:$F$70,6,FALSE)</f>
        <v>24</v>
      </c>
      <c r="U117" s="378">
        <f>VLOOKUP(Table2[[#This Row],[Course Title]],'TSD-Data'!$A$1:$F$70,5,FALSE)</f>
        <v>3</v>
      </c>
      <c r="V117" s="379">
        <v>140</v>
      </c>
      <c r="W117" s="377"/>
      <c r="X117" s="377"/>
      <c r="Y117" s="378"/>
      <c r="Z117" s="378"/>
      <c r="AA117" s="370"/>
      <c r="AB117" s="370"/>
      <c r="AC117" s="370"/>
      <c r="AD117" s="370"/>
      <c r="AE117" s="378">
        <f ca="1">Table2[[#This Row],[End Date]]+2-TODAY()</f>
        <v>220</v>
      </c>
      <c r="AF117" s="370">
        <f>IF(ISBLANK(Table2[[#This Row],[Roster Received by]]),1,0)</f>
        <v>1</v>
      </c>
      <c r="AG117" s="377">
        <f ca="1">IF(Table2[[#This Row],[Start Date]]&gt;TODAY(),1,)</f>
        <v>1</v>
      </c>
      <c r="AH117" s="377">
        <f>IF(ISBLANK(Table2[[#This Row],[Primary Instructor]]),0,1)</f>
        <v>1</v>
      </c>
      <c r="AI117" s="377">
        <f>IF(ISBLANK(Table2[[#This Row],[Instructor 2]]),0,1)</f>
        <v>0</v>
      </c>
      <c r="AJ117" s="377">
        <f>Table2[[#This Row],[Course Length (Hours)]]/(SUM(Table2[[#This Row],[1]:[2]]))</f>
        <v>24</v>
      </c>
      <c r="AK117" s="370"/>
      <c r="AL117" s="388">
        <v>2</v>
      </c>
      <c r="AM117" s="403" t="str">
        <f>VLOOKUP(Table2[[#This Row],[Course Title]],'TSD-Data'!$A$1:$G$70,7,FALSE)</f>
        <v>N5</v>
      </c>
    </row>
    <row r="118" spans="1:39" s="380" customFormat="1" x14ac:dyDescent="0.25">
      <c r="A118" s="368"/>
      <c r="B118" s="432" t="s">
        <v>55</v>
      </c>
      <c r="C118" s="370" t="str">
        <f>VLOOKUP(Table2[[#This Row],[Course Title]],'TSD-Data'!$A$1:$E$70,2,FALSE)</f>
        <v>A-493-0103</v>
      </c>
      <c r="D118" s="370" t="str">
        <f>VLOOKUP(Table2[[#This Row],[Course Title]],'TSD-Data'!$A$1:$E$70,3,FALSE)</f>
        <v>12JY</v>
      </c>
      <c r="E118" s="369" t="s">
        <v>157</v>
      </c>
      <c r="F118" s="371">
        <v>46034</v>
      </c>
      <c r="G118" s="371">
        <v>46038</v>
      </c>
      <c r="H118" s="371" t="s">
        <v>752</v>
      </c>
      <c r="I118" s="372">
        <v>0.33333333333333331</v>
      </c>
      <c r="J118" s="372"/>
      <c r="K118" s="371"/>
      <c r="L118" s="371"/>
      <c r="M118" s="371"/>
      <c r="N118" s="371"/>
      <c r="O118" s="371"/>
      <c r="P118" s="375" t="s">
        <v>289</v>
      </c>
      <c r="Q118" s="375"/>
      <c r="R118" s="376"/>
      <c r="S118" s="370">
        <f>VLOOKUP(Table2[[#This Row],[Course Title]],'TSD-Data'!$A$1:$E$70,4,FALSE)</f>
        <v>25</v>
      </c>
      <c r="T118" s="377">
        <f>VLOOKUP(Table2[[#This Row],[Course Title]],'TSD-Data'!$A$1:$F$70,6,FALSE)</f>
        <v>40</v>
      </c>
      <c r="U118" s="378">
        <f>VLOOKUP(Table2[[#This Row],[Course Title]],'TSD-Data'!$A$1:$F$70,5,FALSE)</f>
        <v>5</v>
      </c>
      <c r="V118" s="379">
        <v>90</v>
      </c>
      <c r="W118" s="377"/>
      <c r="X118" s="377"/>
      <c r="Y118" s="378"/>
      <c r="Z118" s="378"/>
      <c r="AA118" s="370"/>
      <c r="AB118" s="370"/>
      <c r="AC118" s="370"/>
      <c r="AD118" s="370"/>
      <c r="AE118" s="378">
        <f ca="1">Table2[[#This Row],[End Date]]+2-TODAY()</f>
        <v>222</v>
      </c>
      <c r="AF118" s="370">
        <f>IF(ISBLANK(Table2[[#This Row],[Roster Received by]]),1,0)</f>
        <v>1</v>
      </c>
      <c r="AG118" s="377">
        <f ca="1">IF(Table2[[#This Row],[Start Date]]&gt;TODAY(),1,)</f>
        <v>1</v>
      </c>
      <c r="AH118" s="377">
        <f>IF(ISBLANK(Table2[[#This Row],[Primary Instructor]]),0,1)</f>
        <v>1</v>
      </c>
      <c r="AI118" s="377">
        <f>IF(ISBLANK(Table2[[#This Row],[Instructor 2]]),0,1)</f>
        <v>0</v>
      </c>
      <c r="AJ118" s="377">
        <f>Table2[[#This Row],[Course Length (Hours)]]/(SUM(Table2[[#This Row],[1]:[2]]))</f>
        <v>40</v>
      </c>
      <c r="AK118" s="370"/>
      <c r="AL118" s="388">
        <v>2</v>
      </c>
      <c r="AM118" s="403" t="str">
        <f>VLOOKUP(Table2[[#This Row],[Course Title]],'TSD-Data'!$A$1:$G$70,7,FALSE)</f>
        <v>N5</v>
      </c>
    </row>
    <row r="119" spans="1:39" s="380" customFormat="1" x14ac:dyDescent="0.25">
      <c r="A119" s="368"/>
      <c r="B119" s="432" t="s">
        <v>55</v>
      </c>
      <c r="C119" s="370" t="str">
        <f>VLOOKUP(Table2[[#This Row],[Course Title]],'TSD-Data'!$A$1:$E$70,2,FALSE)</f>
        <v>A-493-0103</v>
      </c>
      <c r="D119" s="370" t="str">
        <f>VLOOKUP(Table2[[#This Row],[Course Title]],'TSD-Data'!$A$1:$E$70,3,FALSE)</f>
        <v>12JY</v>
      </c>
      <c r="E119" s="369" t="s">
        <v>398</v>
      </c>
      <c r="F119" s="371">
        <v>46034</v>
      </c>
      <c r="G119" s="371">
        <v>46038</v>
      </c>
      <c r="H119" s="371" t="s">
        <v>752</v>
      </c>
      <c r="I119" s="372">
        <v>0.33333333333333331</v>
      </c>
      <c r="J119" s="372"/>
      <c r="K119" s="437"/>
      <c r="L119" s="371"/>
      <c r="M119" s="371"/>
      <c r="N119" s="371"/>
      <c r="O119" s="371"/>
      <c r="P119" s="375" t="s">
        <v>289</v>
      </c>
      <c r="Q119" s="375"/>
      <c r="R119" s="376"/>
      <c r="S119" s="370">
        <f>VLOOKUP(Table2[[#This Row],[Course Title]],'TSD-Data'!$A$1:$E$70,4,FALSE)</f>
        <v>25</v>
      </c>
      <c r="T119" s="377">
        <f>VLOOKUP(Table2[[#This Row],[Course Title]],'TSD-Data'!$A$1:$F$70,6,FALSE)</f>
        <v>40</v>
      </c>
      <c r="U119" s="378">
        <f>VLOOKUP(Table2[[#This Row],[Course Title]],'TSD-Data'!$A$1:$F$70,5,FALSE)</f>
        <v>5</v>
      </c>
      <c r="V119" s="379">
        <v>35</v>
      </c>
      <c r="W119" s="377"/>
      <c r="X119" s="377"/>
      <c r="Y119" s="378"/>
      <c r="Z119" s="378"/>
      <c r="AA119" s="370"/>
      <c r="AB119" s="370"/>
      <c r="AC119" s="370"/>
      <c r="AD119" s="370"/>
      <c r="AE119" s="378">
        <f ca="1">Table2[[#This Row],[End Date]]+2-TODAY()</f>
        <v>222</v>
      </c>
      <c r="AF119" s="370">
        <f>IF(ISBLANK(Table2[[#This Row],[Roster Received by]]),1,0)</f>
        <v>1</v>
      </c>
      <c r="AG119" s="377">
        <f ca="1">IF(Table2[[#This Row],[Start Date]]&gt;TODAY(),1,)</f>
        <v>1</v>
      </c>
      <c r="AH119" s="377">
        <f>IF(ISBLANK(Table2[[#This Row],[Primary Instructor]]),0,1)</f>
        <v>1</v>
      </c>
      <c r="AI119" s="377">
        <f>IF(ISBLANK(Table2[[#This Row],[Instructor 2]]),0,1)</f>
        <v>0</v>
      </c>
      <c r="AJ119" s="377">
        <f>Table2[[#This Row],[Course Length (Hours)]]/(SUM(Table2[[#This Row],[1]:[2]]))</f>
        <v>40</v>
      </c>
      <c r="AK119" s="370"/>
      <c r="AL119" s="388">
        <v>2</v>
      </c>
      <c r="AM119" s="403" t="str">
        <f>VLOOKUP(Table2[[#This Row],[Course Title]],'TSD-Data'!$A$1:$G$70,7,FALSE)</f>
        <v>N5</v>
      </c>
    </row>
    <row r="120" spans="1:39" s="380" customFormat="1" x14ac:dyDescent="0.25">
      <c r="A120" s="369"/>
      <c r="B120" s="432" t="s">
        <v>47</v>
      </c>
      <c r="C120" s="370" t="str">
        <f>VLOOKUP(Table2[[#This Row],[Course Title]],'TSD-Data'!$A$1:$E$70,2,FALSE)</f>
        <v>A-493-0030</v>
      </c>
      <c r="D120" s="370" t="str">
        <f>VLOOKUP(Table2[[#This Row],[Course Title]],'TSD-Data'!$A$1:$E$70,3,FALSE)</f>
        <v>286X</v>
      </c>
      <c r="E120" s="369" t="s">
        <v>165</v>
      </c>
      <c r="F120" s="371">
        <v>46034</v>
      </c>
      <c r="G120" s="371">
        <v>46038</v>
      </c>
      <c r="H120" s="371" t="s">
        <v>752</v>
      </c>
      <c r="I120" s="372">
        <v>0.33333333333333331</v>
      </c>
      <c r="J120" s="392"/>
      <c r="K120" s="371"/>
      <c r="L120" s="371"/>
      <c r="M120" s="371"/>
      <c r="N120" s="371"/>
      <c r="O120" s="371"/>
      <c r="P120" s="375" t="s">
        <v>304</v>
      </c>
      <c r="Q120" s="375"/>
      <c r="R120" s="375"/>
      <c r="S120" s="370">
        <f>VLOOKUP(Table2[[#This Row],[Course Title]],'TSD-Data'!$A$1:$E$70,4,FALSE)</f>
        <v>25</v>
      </c>
      <c r="T120" s="377">
        <f>VLOOKUP(Table2[[#This Row],[Course Title]],'TSD-Data'!$A$1:$F$70,6,FALSE)</f>
        <v>40</v>
      </c>
      <c r="U120" s="378">
        <f>VLOOKUP(Table2[[#This Row],[Course Title]],'TSD-Data'!$A$1:$F$70,5,FALSE)</f>
        <v>5</v>
      </c>
      <c r="V120" s="379">
        <v>43</v>
      </c>
      <c r="W120" s="377"/>
      <c r="X120" s="377"/>
      <c r="Y120" s="379"/>
      <c r="Z120" s="379"/>
      <c r="AA120" s="377"/>
      <c r="AB120" s="377"/>
      <c r="AC120" s="377"/>
      <c r="AD120" s="377"/>
      <c r="AE120" s="379">
        <f ca="1">Table2[[#This Row],[End Date]]+2-TODAY()</f>
        <v>222</v>
      </c>
      <c r="AF120" s="377">
        <f>IF(ISBLANK(Table2[[#This Row],[Roster Received by]]),1,0)</f>
        <v>1</v>
      </c>
      <c r="AG120" s="377">
        <f ca="1">IF(Table2[[#This Row],[Start Date]]&gt;TODAY(),1,)</f>
        <v>1</v>
      </c>
      <c r="AH120" s="377">
        <f>IF(ISBLANK(Table2[[#This Row],[Primary Instructor]]),0,1)</f>
        <v>1</v>
      </c>
      <c r="AI120" s="377">
        <f>IF(ISBLANK(Table2[[#This Row],[Instructor 2]]),0,1)</f>
        <v>0</v>
      </c>
      <c r="AJ120" s="377">
        <f>Table2[[#This Row],[Course Length (Hours)]]/(SUM(Table2[[#This Row],[1]:[2]]))</f>
        <v>40</v>
      </c>
      <c r="AK120" s="377"/>
      <c r="AL120" s="388">
        <v>2</v>
      </c>
      <c r="AM120" s="403" t="str">
        <f>VLOOKUP(Table2[[#This Row],[Course Title]],'TSD-Data'!$A$1:$G$70,7,FALSE)</f>
        <v>N3</v>
      </c>
    </row>
    <row r="121" spans="1:39" s="380" customFormat="1" x14ac:dyDescent="0.25">
      <c r="A121" s="427" t="s">
        <v>707</v>
      </c>
      <c r="B121" s="401" t="s">
        <v>17</v>
      </c>
      <c r="C121" s="370" t="str">
        <f>VLOOKUP(Table2[[#This Row],[Course Title]],'TSD-Data'!$A$1:$E$70,2,FALSE)</f>
        <v>A-493-0012</v>
      </c>
      <c r="D121" s="370">
        <f>VLOOKUP(Table2[[#This Row],[Course Title]],'TSD-Data'!$A$1:$E$70,3,FALSE)</f>
        <v>3682</v>
      </c>
      <c r="E121" s="401" t="s">
        <v>162</v>
      </c>
      <c r="F121" s="426">
        <v>46034</v>
      </c>
      <c r="G121" s="426">
        <v>46038</v>
      </c>
      <c r="H121" s="371" t="s">
        <v>752</v>
      </c>
      <c r="I121" s="372">
        <v>0.33333333333333331</v>
      </c>
      <c r="J121" s="440"/>
      <c r="K121" s="393"/>
      <c r="L121" s="371"/>
      <c r="M121" s="371"/>
      <c r="N121" s="371"/>
      <c r="O121" s="371"/>
      <c r="P121" s="375" t="s">
        <v>241</v>
      </c>
      <c r="Q121" s="375"/>
      <c r="R121" s="376"/>
      <c r="S121" s="370">
        <f>VLOOKUP(Table2[[#This Row],[Course Title]],'TSD-Data'!$A$1:$E$70,4,FALSE)</f>
        <v>40</v>
      </c>
      <c r="T121" s="377">
        <f>VLOOKUP(Table2[[#This Row],[Course Title]],'TSD-Data'!$A$1:$F$70,6,FALSE)</f>
        <v>40</v>
      </c>
      <c r="U121" s="378">
        <f>VLOOKUP(Table2[[#This Row],[Course Title]],'TSD-Data'!$A$1:$F$70,5,FALSE)</f>
        <v>5</v>
      </c>
      <c r="V121" s="377">
        <v>42</v>
      </c>
      <c r="W121" s="377"/>
      <c r="X121" s="377"/>
      <c r="Y121" s="378"/>
      <c r="Z121" s="378"/>
      <c r="AA121" s="370"/>
      <c r="AB121" s="370"/>
      <c r="AC121" s="370"/>
      <c r="AD121" s="370"/>
      <c r="AE121" s="378" t="e">
        <v>#REF!</v>
      </c>
      <c r="AF121" s="370">
        <v>1</v>
      </c>
      <c r="AG121" s="377" t="e">
        <v>#REF!</v>
      </c>
      <c r="AH121" s="377">
        <v>0</v>
      </c>
      <c r="AI121" s="377">
        <v>0</v>
      </c>
      <c r="AJ121" s="377" t="e">
        <v>#DIV/0!</v>
      </c>
      <c r="AK121" s="370"/>
      <c r="AL121" s="388">
        <v>2</v>
      </c>
      <c r="AM121" s="403" t="str">
        <f>VLOOKUP(Table2[[#This Row],[Course Title]],'TSD-Data'!$A$1:$G$70,7,FALSE)</f>
        <v>N4</v>
      </c>
    </row>
    <row r="122" spans="1:39" s="380" customFormat="1" x14ac:dyDescent="0.25">
      <c r="A122" s="413"/>
      <c r="B122" s="369" t="s">
        <v>29</v>
      </c>
      <c r="C122" s="370" t="str">
        <f>VLOOKUP(Table2[[#This Row],[Course Title]],'TSD-Data'!$A$1:$E$70,2,FALSE)</f>
        <v>A-493-0077</v>
      </c>
      <c r="D122" s="370" t="str">
        <f>VLOOKUP(Table2[[#This Row],[Course Title]],'TSD-Data'!$A$1:$E$70,3,FALSE)</f>
        <v>0381</v>
      </c>
      <c r="E122" s="414" t="s">
        <v>242</v>
      </c>
      <c r="F122" s="416">
        <v>46034</v>
      </c>
      <c r="G122" s="416">
        <v>46036</v>
      </c>
      <c r="H122" s="371" t="s">
        <v>752</v>
      </c>
      <c r="I122" s="417">
        <v>0.33333333333333331</v>
      </c>
      <c r="J122" s="417"/>
      <c r="K122" s="416"/>
      <c r="L122" s="416"/>
      <c r="M122" s="416"/>
      <c r="N122" s="416"/>
      <c r="O122" s="416"/>
      <c r="P122" s="418" t="s">
        <v>241</v>
      </c>
      <c r="Q122" s="418"/>
      <c r="R122" s="376"/>
      <c r="S122" s="370">
        <f>VLOOKUP(Table2[[#This Row],[Course Title]],'TSD-Data'!$A$1:$E$70,4,FALSE)</f>
        <v>25</v>
      </c>
      <c r="T122" s="377">
        <f>VLOOKUP(Table2[[#This Row],[Course Title]],'TSD-Data'!$A$1:$F$70,6,FALSE)</f>
        <v>24</v>
      </c>
      <c r="U122" s="378">
        <f>VLOOKUP(Table2[[#This Row],[Course Title]],'TSD-Data'!$A$1:$F$70,5,FALSE)</f>
        <v>3</v>
      </c>
      <c r="V122" s="379">
        <v>59</v>
      </c>
      <c r="W122" s="377"/>
      <c r="X122" s="377"/>
      <c r="Y122" s="420"/>
      <c r="Z122" s="420"/>
      <c r="AA122" s="415"/>
      <c r="AB122" s="415"/>
      <c r="AC122" s="421"/>
      <c r="AD122" s="421"/>
      <c r="AE122" s="420">
        <v>231</v>
      </c>
      <c r="AF122" s="415">
        <v>1</v>
      </c>
      <c r="AG122" s="403">
        <v>1</v>
      </c>
      <c r="AH122" s="403">
        <v>1</v>
      </c>
      <c r="AI122" s="403">
        <v>0</v>
      </c>
      <c r="AJ122" s="403">
        <v>24</v>
      </c>
      <c r="AK122" s="415"/>
      <c r="AL122" s="388">
        <v>2</v>
      </c>
      <c r="AM122" s="403" t="str">
        <f>VLOOKUP(Table2[[#This Row],[Course Title]],'TSD-Data'!$A$1:$G$70,7,FALSE)</f>
        <v>N4</v>
      </c>
    </row>
    <row r="123" spans="1:39" s="380" customFormat="1" x14ac:dyDescent="0.25">
      <c r="A123" s="368"/>
      <c r="B123" s="369" t="s">
        <v>59</v>
      </c>
      <c r="C123" s="370" t="str">
        <f>VLOOKUP(Table2[[#This Row],[Course Title]],'TSD-Data'!$A$1:$E$70,2,FALSE)</f>
        <v>A-493-0550</v>
      </c>
      <c r="D123" s="370" t="str">
        <f>VLOOKUP(Table2[[#This Row],[Course Title]],'TSD-Data'!$A$1:$E$70,3,FALSE)</f>
        <v>09K5</v>
      </c>
      <c r="E123" s="369" t="s">
        <v>86</v>
      </c>
      <c r="F123" s="371">
        <v>46034</v>
      </c>
      <c r="G123" s="371">
        <v>46037</v>
      </c>
      <c r="H123" s="371" t="s">
        <v>752</v>
      </c>
      <c r="I123" s="372"/>
      <c r="J123" s="372">
        <v>0.33333333333333331</v>
      </c>
      <c r="K123" s="372">
        <v>0.20833333333333334</v>
      </c>
      <c r="L123" s="388">
        <v>1600</v>
      </c>
      <c r="M123" s="388">
        <v>1400</v>
      </c>
      <c r="N123" s="372">
        <v>0.125</v>
      </c>
      <c r="O123" s="388">
        <v>2200</v>
      </c>
      <c r="P123" s="375" t="s">
        <v>272</v>
      </c>
      <c r="Q123" s="375"/>
      <c r="R123" s="376"/>
      <c r="S123" s="370">
        <f>VLOOKUP(Table2[[#This Row],[Course Title]],'TSD-Data'!$A$1:$E$70,4,FALSE)</f>
        <v>45</v>
      </c>
      <c r="T123" s="377">
        <f>VLOOKUP(Table2[[#This Row],[Course Title]],'TSD-Data'!$A$1:$F$70,6,FALSE)</f>
        <v>32</v>
      </c>
      <c r="U123" s="378">
        <f>VLOOKUP(Table2[[#This Row],[Course Title]],'TSD-Data'!$A$1:$F$70,5,FALSE)</f>
        <v>4</v>
      </c>
      <c r="V123" s="379">
        <v>455</v>
      </c>
      <c r="W123" s="377"/>
      <c r="X123" s="377"/>
      <c r="Y123" s="378"/>
      <c r="Z123" s="378"/>
      <c r="AA123" s="370"/>
      <c r="AB123" s="370"/>
      <c r="AC123" s="370"/>
      <c r="AD123" s="370"/>
      <c r="AE123" s="378">
        <f ca="1">Table2[[#This Row],[End Date]]+2-TODAY()</f>
        <v>221</v>
      </c>
      <c r="AF123" s="370">
        <f>IF(ISBLANK(Table2[[#This Row],[Roster Received by]]),1,0)</f>
        <v>1</v>
      </c>
      <c r="AG123" s="377">
        <f ca="1">IF(Table2[[#This Row],[Start Date]]&gt;TODAY(),1,)</f>
        <v>1</v>
      </c>
      <c r="AH123" s="377">
        <f>IF(ISBLANK(Table2[[#This Row],[Primary Instructor]]),0,1)</f>
        <v>1</v>
      </c>
      <c r="AI123" s="377">
        <f>IF(ISBLANK(Table2[[#This Row],[Instructor 2]]),0,1)</f>
        <v>0</v>
      </c>
      <c r="AJ123" s="377">
        <f>Table2[[#This Row],[Course Length (Hours)]]/(SUM(Table2[[#This Row],[1]:[2]]))</f>
        <v>32</v>
      </c>
      <c r="AK123" s="370"/>
      <c r="AL123" s="388">
        <v>2</v>
      </c>
      <c r="AM123" s="403" t="str">
        <f>VLOOKUP(Table2[[#This Row],[Course Title]],'TSD-Data'!$A$1:$G$70,7,FALSE)</f>
        <v>N5</v>
      </c>
    </row>
    <row r="124" spans="1:39" s="380" customFormat="1" x14ac:dyDescent="0.25">
      <c r="A124" s="368"/>
      <c r="B124" s="432" t="s">
        <v>313</v>
      </c>
      <c r="C124" s="370" t="str">
        <f>VLOOKUP(Table2[[#This Row],[Course Title]],'TSD-Data'!$A$1:$E$70,2,FALSE)</f>
        <v>A-493-0078</v>
      </c>
      <c r="D124" s="370">
        <f>VLOOKUP(Table2[[#This Row],[Course Title]],'TSD-Data'!$A$1:$E$70,3,FALSE)</f>
        <v>1228</v>
      </c>
      <c r="E124" s="369" t="s">
        <v>165</v>
      </c>
      <c r="F124" s="371">
        <v>46034</v>
      </c>
      <c r="G124" s="371">
        <v>46038</v>
      </c>
      <c r="H124" s="371" t="s">
        <v>752</v>
      </c>
      <c r="I124" s="372">
        <v>0.33333333333333331</v>
      </c>
      <c r="J124" s="372"/>
      <c r="K124" s="371"/>
      <c r="L124" s="371"/>
      <c r="M124" s="371"/>
      <c r="N124" s="371"/>
      <c r="O124" s="371"/>
      <c r="P124" s="375" t="s">
        <v>256</v>
      </c>
      <c r="Q124" s="375"/>
      <c r="R124" s="376"/>
      <c r="S124" s="370">
        <f>VLOOKUP(Table2[[#This Row],[Course Title]],'TSD-Data'!$A$1:$E$70,4,FALSE)</f>
        <v>30</v>
      </c>
      <c r="T124" s="377">
        <f>VLOOKUP(Table2[[#This Row],[Course Title]],'TSD-Data'!$A$1:$F$70,6,FALSE)</f>
        <v>32</v>
      </c>
      <c r="U124" s="378">
        <f>VLOOKUP(Table2[[#This Row],[Course Title]],'TSD-Data'!$A$1:$F$70,5,FALSE)</f>
        <v>4</v>
      </c>
      <c r="V124" s="379">
        <v>0</v>
      </c>
      <c r="W124" s="377"/>
      <c r="X124" s="377"/>
      <c r="Y124" s="378"/>
      <c r="Z124" s="378"/>
      <c r="AA124" s="370"/>
      <c r="AB124" s="370"/>
      <c r="AC124" s="370"/>
      <c r="AD124" s="370"/>
      <c r="AE124" s="378">
        <f ca="1">Table2[[#This Row],[End Date]]+2-TODAY()</f>
        <v>222</v>
      </c>
      <c r="AF124" s="370">
        <f>IF(ISBLANK(Table2[[#This Row],[Roster Received by]]),1,0)</f>
        <v>1</v>
      </c>
      <c r="AG124" s="377">
        <f ca="1">IF(Table2[[#This Row],[Start Date]]&gt;TODAY(),1,)</f>
        <v>1</v>
      </c>
      <c r="AH124" s="377">
        <f>IF(ISBLANK(Table2[[#This Row],[Primary Instructor]]),0,1)</f>
        <v>1</v>
      </c>
      <c r="AI124" s="377">
        <f>IF(ISBLANK(Table2[[#This Row],[Instructor 2]]),0,1)</f>
        <v>0</v>
      </c>
      <c r="AJ124" s="377">
        <f>Table2[[#This Row],[Course Length (Hours)]]/(SUM(Table2[[#This Row],[1]:[2]]))</f>
        <v>32</v>
      </c>
      <c r="AK124" s="370"/>
      <c r="AL124" s="388">
        <v>2</v>
      </c>
      <c r="AM124" s="403" t="str">
        <f>VLOOKUP(Table2[[#This Row],[Course Title]],'TSD-Data'!$A$1:$G$70,7,FALSE)</f>
        <v>N5</v>
      </c>
    </row>
    <row r="125" spans="1:39" s="380" customFormat="1" x14ac:dyDescent="0.25">
      <c r="A125" s="368"/>
      <c r="B125" s="432" t="s">
        <v>52</v>
      </c>
      <c r="C125" s="370" t="str">
        <f>VLOOKUP(Table2[[#This Row],[Course Title]],'TSD-Data'!$A$1:$E$70,2,FALSE)</f>
        <v>A-493-0085</v>
      </c>
      <c r="D125" s="370">
        <f>VLOOKUP(Table2[[#This Row],[Course Title]],'TSD-Data'!$A$1:$E$70,3,FALSE)</f>
        <v>3555</v>
      </c>
      <c r="E125" s="369" t="s">
        <v>86</v>
      </c>
      <c r="F125" s="371">
        <v>46034</v>
      </c>
      <c r="G125" s="371">
        <v>46037</v>
      </c>
      <c r="H125" s="371" t="s">
        <v>752</v>
      </c>
      <c r="I125" s="372"/>
      <c r="J125" s="381">
        <v>0.5</v>
      </c>
      <c r="K125" s="381">
        <v>0.375</v>
      </c>
      <c r="L125" s="381">
        <v>0.83333333333333337</v>
      </c>
      <c r="M125" s="381">
        <v>0.75</v>
      </c>
      <c r="N125" s="381">
        <v>0.29166666666666669</v>
      </c>
      <c r="O125" s="381">
        <v>8.3333333333333329E-2</v>
      </c>
      <c r="P125" s="375" t="s">
        <v>293</v>
      </c>
      <c r="Q125" s="375"/>
      <c r="R125" s="376"/>
      <c r="S125" s="370">
        <f>VLOOKUP(Table2[[#This Row],[Course Title]],'TSD-Data'!$A$1:$E$70,4,FALSE)</f>
        <v>45</v>
      </c>
      <c r="T125" s="377">
        <f>VLOOKUP(Table2[[#This Row],[Course Title]],'TSD-Data'!$A$1:$F$70,6,FALSE)</f>
        <v>32</v>
      </c>
      <c r="U125" s="378">
        <f>VLOOKUP(Table2[[#This Row],[Course Title]],'TSD-Data'!$A$1:$F$70,5,FALSE)</f>
        <v>4</v>
      </c>
      <c r="V125" s="379">
        <v>688</v>
      </c>
      <c r="W125" s="377"/>
      <c r="X125" s="377"/>
      <c r="Y125" s="378"/>
      <c r="Z125" s="378"/>
      <c r="AA125" s="370"/>
      <c r="AB125" s="370"/>
      <c r="AC125" s="370"/>
      <c r="AD125" s="370"/>
      <c r="AE125" s="378">
        <f ca="1">Table2[[#This Row],[End Date]]+2-TODAY()</f>
        <v>221</v>
      </c>
      <c r="AF125" s="370">
        <f>IF(ISBLANK(Table2[[#This Row],[Roster Received by]]),1,0)</f>
        <v>1</v>
      </c>
      <c r="AG125" s="377">
        <f ca="1">IF(Table2[[#This Row],[Start Date]]&gt;TODAY(),1,)</f>
        <v>1</v>
      </c>
      <c r="AH125" s="377">
        <f>IF(ISBLANK(Table2[[#This Row],[Primary Instructor]]),0,1)</f>
        <v>1</v>
      </c>
      <c r="AI125" s="377">
        <f>IF(ISBLANK(Table2[[#This Row],[Instructor 2]]),0,1)</f>
        <v>0</v>
      </c>
      <c r="AJ125" s="377">
        <f>Table2[[#This Row],[Course Length (Hours)]]/(SUM(Table2[[#This Row],[1]:[2]]))</f>
        <v>32</v>
      </c>
      <c r="AK125" s="370"/>
      <c r="AL125" s="388">
        <v>2</v>
      </c>
      <c r="AM125" s="403" t="str">
        <f>VLOOKUP(Table2[[#This Row],[Course Title]],'TSD-Data'!$A$1:$G$70,7,FALSE)</f>
        <v>N3</v>
      </c>
    </row>
    <row r="126" spans="1:39" s="380" customFormat="1" x14ac:dyDescent="0.25">
      <c r="A126" s="413"/>
      <c r="B126" s="414" t="s">
        <v>35</v>
      </c>
      <c r="C126" s="370" t="str">
        <f>VLOOKUP(Table2[[#This Row],[Course Title]],'TSD-Data'!$A$1:$E$70,2,FALSE)</f>
        <v>A-493-2501</v>
      </c>
      <c r="D126" s="370" t="str">
        <f>VLOOKUP(Table2[[#This Row],[Course Title]],'TSD-Data'!$A$1:$E$70,3,FALSE)</f>
        <v>05ZE</v>
      </c>
      <c r="E126" s="414" t="s">
        <v>174</v>
      </c>
      <c r="F126" s="416">
        <v>46034</v>
      </c>
      <c r="G126" s="416">
        <v>46034</v>
      </c>
      <c r="H126" s="371" t="s">
        <v>752</v>
      </c>
      <c r="I126" s="417">
        <v>0.33333333333333331</v>
      </c>
      <c r="J126" s="417"/>
      <c r="K126" s="416"/>
      <c r="L126" s="416"/>
      <c r="M126" s="416"/>
      <c r="N126" s="416"/>
      <c r="O126" s="416"/>
      <c r="P126" s="418" t="s">
        <v>241</v>
      </c>
      <c r="Q126" s="418"/>
      <c r="R126" s="376"/>
      <c r="S126" s="370">
        <f>VLOOKUP(Table2[[#This Row],[Course Title]],'TSD-Data'!$A$1:$E$70,4,FALSE)</f>
        <v>30</v>
      </c>
      <c r="T126" s="377">
        <f>VLOOKUP(Table2[[#This Row],[Course Title]],'TSD-Data'!$A$1:$F$70,6,FALSE)</f>
        <v>8</v>
      </c>
      <c r="U126" s="378">
        <f>VLOOKUP(Table2[[#This Row],[Course Title]],'TSD-Data'!$A$1:$F$70,5,FALSE)</f>
        <v>1</v>
      </c>
      <c r="V126" s="379">
        <v>47</v>
      </c>
      <c r="W126" s="377"/>
      <c r="X126" s="377"/>
      <c r="Y126" s="420"/>
      <c r="Z126" s="420"/>
      <c r="AA126" s="415"/>
      <c r="AB126" s="415"/>
      <c r="AC126" s="421"/>
      <c r="AD126" s="421"/>
      <c r="AE126" s="420">
        <v>229</v>
      </c>
      <c r="AF126" s="415">
        <v>1</v>
      </c>
      <c r="AG126" s="403">
        <v>1</v>
      </c>
      <c r="AH126" s="403">
        <v>1</v>
      </c>
      <c r="AI126" s="403">
        <v>0</v>
      </c>
      <c r="AJ126" s="403">
        <v>8</v>
      </c>
      <c r="AK126" s="415"/>
      <c r="AL126" s="388">
        <v>2</v>
      </c>
      <c r="AM126" s="403" t="str">
        <f>VLOOKUP(Table2[[#This Row],[Course Title]],'TSD-Data'!$A$1:$G$70,7,FALSE)</f>
        <v>N4</v>
      </c>
    </row>
    <row r="127" spans="1:39" s="380" customFormat="1" x14ac:dyDescent="0.25">
      <c r="A127" s="368"/>
      <c r="B127" s="369" t="s">
        <v>39</v>
      </c>
      <c r="C127" s="370" t="str">
        <f>VLOOKUP(Table2[[#This Row],[Course Title]],'TSD-Data'!$A$1:$E$70,2,FALSE)</f>
        <v>A-570-0100</v>
      </c>
      <c r="D127" s="370" t="str">
        <f>VLOOKUP(Table2[[#This Row],[Course Title]],'TSD-Data'!$A$1:$E$70,3,FALSE)</f>
        <v>18B7</v>
      </c>
      <c r="E127" s="369" t="s">
        <v>86</v>
      </c>
      <c r="F127" s="371">
        <v>46034</v>
      </c>
      <c r="G127" s="371">
        <v>46035</v>
      </c>
      <c r="H127" s="371" t="s">
        <v>752</v>
      </c>
      <c r="I127" s="372"/>
      <c r="J127" s="372">
        <v>0.33333333333333331</v>
      </c>
      <c r="K127" s="372">
        <v>0.20833333333333334</v>
      </c>
      <c r="L127" s="388">
        <v>1600</v>
      </c>
      <c r="M127" s="388">
        <v>1400</v>
      </c>
      <c r="N127" s="372">
        <v>0.125</v>
      </c>
      <c r="O127" s="388">
        <v>2200</v>
      </c>
      <c r="P127" s="375" t="s">
        <v>252</v>
      </c>
      <c r="Q127" s="375"/>
      <c r="R127" s="376"/>
      <c r="S127" s="370">
        <f>VLOOKUP(Table2[[#This Row],[Course Title]],'TSD-Data'!$A$1:$E$70,4,FALSE)</f>
        <v>45</v>
      </c>
      <c r="T127" s="377">
        <f>VLOOKUP(Table2[[#This Row],[Course Title]],'TSD-Data'!$A$1:$F$70,6,FALSE)</f>
        <v>16</v>
      </c>
      <c r="U127" s="378">
        <f>VLOOKUP(Table2[[#This Row],[Course Title]],'TSD-Data'!$A$1:$F$70,5,FALSE)</f>
        <v>2</v>
      </c>
      <c r="V127" s="379">
        <v>326</v>
      </c>
      <c r="W127" s="377"/>
      <c r="X127" s="377"/>
      <c r="Y127" s="378"/>
      <c r="Z127" s="378"/>
      <c r="AA127" s="370"/>
      <c r="AB127" s="370"/>
      <c r="AC127" s="370"/>
      <c r="AD127" s="370"/>
      <c r="AE127" s="378">
        <f ca="1">Table2[[#This Row],[End Date]]+2-TODAY()</f>
        <v>219</v>
      </c>
      <c r="AF127" s="370">
        <f>IF(ISBLANK(Table2[[#This Row],[Roster Received by]]),1,0)</f>
        <v>1</v>
      </c>
      <c r="AG127" s="377">
        <f ca="1">IF(Table2[[#This Row],[Start Date]]&gt;TODAY(),1,)</f>
        <v>1</v>
      </c>
      <c r="AH127" s="377">
        <f>IF(ISBLANK(Table2[[#This Row],[Primary Instructor]]),0,1)</f>
        <v>1</v>
      </c>
      <c r="AI127" s="377">
        <f>IF(ISBLANK(Table2[[#This Row],[Instructor 2]]),0,1)</f>
        <v>0</v>
      </c>
      <c r="AJ127" s="377">
        <f>Table2[[#This Row],[Course Length (Hours)]]/(SUM(Table2[[#This Row],[1]:[2]]))</f>
        <v>16</v>
      </c>
      <c r="AK127" s="370"/>
      <c r="AL127" s="388">
        <v>2</v>
      </c>
      <c r="AM127" s="403" t="str">
        <f>VLOOKUP(Table2[[#This Row],[Course Title]],'TSD-Data'!$A$1:$G$70,7,FALSE)</f>
        <v>N5</v>
      </c>
    </row>
    <row r="128" spans="1:39" s="380" customFormat="1" x14ac:dyDescent="0.25">
      <c r="A128" s="368"/>
      <c r="B128" s="369" t="s">
        <v>53</v>
      </c>
      <c r="C128" s="370" t="str">
        <f>VLOOKUP(Table2[[#This Row],[Course Title]],'TSD-Data'!$A$1:$E$70,2,FALSE)</f>
        <v>A-493-0072</v>
      </c>
      <c r="D128" s="370" t="str">
        <f>VLOOKUP(Table2[[#This Row],[Course Title]],'TSD-Data'!$A$1:$E$70,3,FALSE)</f>
        <v>713U</v>
      </c>
      <c r="E128" s="369" t="s">
        <v>165</v>
      </c>
      <c r="F128" s="371">
        <v>46034</v>
      </c>
      <c r="G128" s="371">
        <v>46038</v>
      </c>
      <c r="H128" s="371" t="s">
        <v>752</v>
      </c>
      <c r="I128" s="372">
        <v>0.33333333333333331</v>
      </c>
      <c r="J128" s="372"/>
      <c r="K128" s="393"/>
      <c r="L128" s="371"/>
      <c r="M128" s="371"/>
      <c r="N128" s="371"/>
      <c r="O128" s="371"/>
      <c r="P128" s="375" t="s">
        <v>297</v>
      </c>
      <c r="Q128" s="375"/>
      <c r="R128" s="376" t="s">
        <v>256</v>
      </c>
      <c r="S128" s="370">
        <f>VLOOKUP(Table2[[#This Row],[Course Title]],'TSD-Data'!$A$1:$E$70,4,FALSE)</f>
        <v>30</v>
      </c>
      <c r="T128" s="377">
        <f>VLOOKUP(Table2[[#This Row],[Course Title]],'TSD-Data'!$A$1:$F$70,6,FALSE)</f>
        <v>40</v>
      </c>
      <c r="U128" s="378">
        <f>VLOOKUP(Table2[[#This Row],[Course Title]],'TSD-Data'!$A$1:$F$70,5,FALSE)</f>
        <v>5</v>
      </c>
      <c r="V128" s="379">
        <v>56</v>
      </c>
      <c r="W128" s="377"/>
      <c r="X128" s="377"/>
      <c r="Y128" s="378"/>
      <c r="Z128" s="378"/>
      <c r="AA128" s="370"/>
      <c r="AB128" s="370"/>
      <c r="AC128" s="370"/>
      <c r="AD128" s="370"/>
      <c r="AE128" s="378">
        <f ca="1">Table2[[#This Row],[End Date]]+2-TODAY()</f>
        <v>222</v>
      </c>
      <c r="AF128" s="370">
        <f>IF(ISBLANK(Table2[[#This Row],[Roster Received by]]),1,0)</f>
        <v>1</v>
      </c>
      <c r="AG128" s="377">
        <f ca="1">IF(Table2[[#This Row],[Start Date]]&gt;TODAY(),1,)</f>
        <v>1</v>
      </c>
      <c r="AH128" s="377">
        <f>IF(ISBLANK(Table2[[#This Row],[Primary Instructor]]),0,1)</f>
        <v>1</v>
      </c>
      <c r="AI128" s="377">
        <f>IF(ISBLANK(Table2[[#This Row],[Instructor 2]]),0,1)</f>
        <v>0</v>
      </c>
      <c r="AJ128" s="377">
        <f>Table2[[#This Row],[Course Length (Hours)]]/(SUM(Table2[[#This Row],[1]:[2]]))</f>
        <v>40</v>
      </c>
      <c r="AK128" s="370"/>
      <c r="AL128" s="388">
        <v>2</v>
      </c>
      <c r="AM128" s="403" t="str">
        <f>VLOOKUP(Table2[[#This Row],[Course Title]],'TSD-Data'!$A$1:$G$70,7,FALSE)</f>
        <v>N3</v>
      </c>
    </row>
    <row r="129" spans="1:39" s="380" customFormat="1" x14ac:dyDescent="0.25">
      <c r="A129" s="368"/>
      <c r="B129" s="432" t="s">
        <v>54</v>
      </c>
      <c r="C129" s="370" t="str">
        <f>VLOOKUP(Table2[[#This Row],[Course Title]],'TSD-Data'!$A$1:$E$70,2,FALSE)</f>
        <v>F-4J-0023</v>
      </c>
      <c r="D129" s="370" t="str">
        <f>VLOOKUP(Table2[[#This Row],[Course Title]],'TSD-Data'!$A$1:$E$70,3,FALSE)</f>
        <v>11A2</v>
      </c>
      <c r="E129" s="369" t="s">
        <v>86</v>
      </c>
      <c r="F129" s="371">
        <v>46034</v>
      </c>
      <c r="G129" s="371">
        <v>46038</v>
      </c>
      <c r="H129" s="371" t="s">
        <v>752</v>
      </c>
      <c r="I129" s="372"/>
      <c r="J129" s="372">
        <v>0.33333333333333331</v>
      </c>
      <c r="K129" s="440">
        <v>0.20833333333333334</v>
      </c>
      <c r="L129" s="388">
        <v>1600</v>
      </c>
      <c r="M129" s="388">
        <v>1400</v>
      </c>
      <c r="N129" s="372">
        <v>0.125</v>
      </c>
      <c r="O129" s="388">
        <v>2200</v>
      </c>
      <c r="P129" s="375" t="s">
        <v>299</v>
      </c>
      <c r="Q129" s="375"/>
      <c r="R129" s="376"/>
      <c r="S129" s="370">
        <f>VLOOKUP(Table2[[#This Row],[Course Title]],'TSD-Data'!$A$1:$E$70,4,FALSE)</f>
        <v>45</v>
      </c>
      <c r="T129" s="377">
        <f>VLOOKUP(Table2[[#This Row],[Course Title]],'TSD-Data'!$A$1:$F$70,6,FALSE)</f>
        <v>16</v>
      </c>
      <c r="U129" s="378">
        <f>VLOOKUP(Table2[[#This Row],[Course Title]],'TSD-Data'!$A$1:$F$70,5,FALSE)</f>
        <v>2</v>
      </c>
      <c r="V129" s="379">
        <v>28</v>
      </c>
      <c r="W129" s="377"/>
      <c r="X129" s="377"/>
      <c r="Y129" s="378"/>
      <c r="Z129" s="378"/>
      <c r="AA129" s="370"/>
      <c r="AB129" s="370"/>
      <c r="AC129" s="370"/>
      <c r="AD129" s="370"/>
      <c r="AE129" s="378">
        <f ca="1">Table2[[#This Row],[End Date]]+2-TODAY()</f>
        <v>222</v>
      </c>
      <c r="AF129" s="370">
        <f>IF(ISBLANK(Table2[[#This Row],[Roster Received by]]),1,0)</f>
        <v>1</v>
      </c>
      <c r="AG129" s="377">
        <f ca="1">IF(Table2[[#This Row],[Start Date]]&gt;TODAY(),1,)</f>
        <v>1</v>
      </c>
      <c r="AH129" s="377">
        <f>IF(ISBLANK(Table2[[#This Row],[Primary Instructor]]),0,1)</f>
        <v>1</v>
      </c>
      <c r="AI129" s="377">
        <f>IF(ISBLANK(Table2[[#This Row],[Instructor 2]]),0,1)</f>
        <v>0</v>
      </c>
      <c r="AJ129" s="377">
        <f>Table2[[#This Row],[Course Length (Hours)]]/(SUM(Table2[[#This Row],[1]:[2]]))</f>
        <v>16</v>
      </c>
      <c r="AK129" s="370"/>
      <c r="AL129" s="388">
        <v>2</v>
      </c>
      <c r="AM129" s="403" t="str">
        <f>VLOOKUP(Table2[[#This Row],[Course Title]],'TSD-Data'!$A$1:$G$70,7,FALSE)</f>
        <v>N1</v>
      </c>
    </row>
    <row r="130" spans="1:39" s="380" customFormat="1" x14ac:dyDescent="0.25">
      <c r="A130" s="368"/>
      <c r="B130" s="369" t="s">
        <v>57</v>
      </c>
      <c r="C130" s="370" t="str">
        <f>VLOOKUP(Table2[[#This Row],[Course Title]],'TSD-Data'!$A$1:$E$70,2,FALSE)</f>
        <v>A-493-0099</v>
      </c>
      <c r="D130" s="370" t="str">
        <f>VLOOKUP(Table2[[#This Row],[Course Title]],'TSD-Data'!$A$1:$E$70,3,FALSE)</f>
        <v>12JW</v>
      </c>
      <c r="E130" s="369" t="s">
        <v>86</v>
      </c>
      <c r="F130" s="371">
        <v>46035</v>
      </c>
      <c r="G130" s="371">
        <v>46037</v>
      </c>
      <c r="H130" s="371" t="s">
        <v>752</v>
      </c>
      <c r="I130" s="372"/>
      <c r="J130" s="381">
        <v>0.5</v>
      </c>
      <c r="K130" s="381">
        <v>0.375</v>
      </c>
      <c r="L130" s="381">
        <v>0.83333333333333337</v>
      </c>
      <c r="M130" s="381">
        <v>0.75</v>
      </c>
      <c r="N130" s="381">
        <v>0.29166666666666669</v>
      </c>
      <c r="O130" s="381">
        <v>8.3333333333333329E-2</v>
      </c>
      <c r="P130" s="375" t="s">
        <v>277</v>
      </c>
      <c r="Q130" s="375"/>
      <c r="R130" s="376"/>
      <c r="S130" s="370">
        <f>VLOOKUP(Table2[[#This Row],[Course Title]],'TSD-Data'!$A$1:$E$70,4,FALSE)</f>
        <v>45</v>
      </c>
      <c r="T130" s="377">
        <f>VLOOKUP(Table2[[#This Row],[Course Title]],'TSD-Data'!$A$1:$F$70,6,FALSE)</f>
        <v>24</v>
      </c>
      <c r="U130" s="378">
        <f>VLOOKUP(Table2[[#This Row],[Course Title]],'TSD-Data'!$A$1:$F$70,5,FALSE)</f>
        <v>3</v>
      </c>
      <c r="V130" s="379">
        <v>1041</v>
      </c>
      <c r="W130" s="377"/>
      <c r="X130" s="377"/>
      <c r="Y130" s="378"/>
      <c r="Z130" s="378"/>
      <c r="AA130" s="370"/>
      <c r="AB130" s="370"/>
      <c r="AC130" s="370"/>
      <c r="AD130" s="370"/>
      <c r="AE130" s="378">
        <f ca="1">Table2[[#This Row],[End Date]]+2-TODAY()</f>
        <v>221</v>
      </c>
      <c r="AF130" s="370">
        <f>IF(ISBLANK(Table2[[#This Row],[Roster Received by]]),1,0)</f>
        <v>1</v>
      </c>
      <c r="AG130" s="377">
        <f ca="1">IF(Table2[[#This Row],[Start Date]]&gt;TODAY(),1,)</f>
        <v>1</v>
      </c>
      <c r="AH130" s="377">
        <f>IF(ISBLANK(Table2[[#This Row],[Primary Instructor]]),0,1)</f>
        <v>1</v>
      </c>
      <c r="AI130" s="377">
        <f>IF(ISBLANK(Table2[[#This Row],[Instructor 2]]),0,1)</f>
        <v>0</v>
      </c>
      <c r="AJ130" s="377">
        <f>Table2[[#This Row],[Course Length (Hours)]]/(SUM(Table2[[#This Row],[1]:[2]]))</f>
        <v>24</v>
      </c>
      <c r="AK130" s="370"/>
      <c r="AL130" s="388">
        <v>2</v>
      </c>
      <c r="AM130" s="403" t="str">
        <f>VLOOKUP(Table2[[#This Row],[Course Title]],'TSD-Data'!$A$1:$G$70,7,FALSE)</f>
        <v>N5</v>
      </c>
    </row>
    <row r="131" spans="1:39" s="380" customFormat="1" x14ac:dyDescent="0.25">
      <c r="A131" s="414"/>
      <c r="B131" s="369" t="s">
        <v>29</v>
      </c>
      <c r="C131" s="370" t="str">
        <f>VLOOKUP(Table2[[#This Row],[Course Title]],'TSD-Data'!$A$1:$E$70,2,FALSE)</f>
        <v>A-493-0077</v>
      </c>
      <c r="D131" s="370" t="str">
        <f>VLOOKUP(Table2[[#This Row],[Course Title]],'TSD-Data'!$A$1:$E$70,3,FALSE)</f>
        <v>0381</v>
      </c>
      <c r="E131" s="414" t="s">
        <v>173</v>
      </c>
      <c r="F131" s="416">
        <v>46035</v>
      </c>
      <c r="G131" s="416">
        <v>46037</v>
      </c>
      <c r="H131" s="371" t="s">
        <v>752</v>
      </c>
      <c r="I131" s="417">
        <v>0.33333333333333331</v>
      </c>
      <c r="J131" s="417"/>
      <c r="K131" s="416"/>
      <c r="L131" s="416"/>
      <c r="M131" s="416"/>
      <c r="N131" s="416"/>
      <c r="O131" s="416"/>
      <c r="P131" s="418" t="s">
        <v>241</v>
      </c>
      <c r="Q131" s="418"/>
      <c r="R131" s="375"/>
      <c r="S131" s="370">
        <f>VLOOKUP(Table2[[#This Row],[Course Title]],'TSD-Data'!$A$1:$E$70,4,FALSE)</f>
        <v>25</v>
      </c>
      <c r="T131" s="377">
        <f>VLOOKUP(Table2[[#This Row],[Course Title]],'TSD-Data'!$A$1:$F$70,6,FALSE)</f>
        <v>24</v>
      </c>
      <c r="U131" s="378">
        <f>VLOOKUP(Table2[[#This Row],[Course Title]],'TSD-Data'!$A$1:$F$70,5,FALSE)</f>
        <v>3</v>
      </c>
      <c r="V131" s="379">
        <v>28</v>
      </c>
      <c r="W131" s="377"/>
      <c r="X131" s="377"/>
      <c r="Y131" s="422"/>
      <c r="Z131" s="422"/>
      <c r="AA131" s="419"/>
      <c r="AB131" s="419"/>
      <c r="AC131" s="423"/>
      <c r="AD131" s="423"/>
      <c r="AE131" s="422">
        <v>232</v>
      </c>
      <c r="AF131" s="419">
        <v>1</v>
      </c>
      <c r="AG131" s="403">
        <v>1</v>
      </c>
      <c r="AH131" s="403">
        <v>1</v>
      </c>
      <c r="AI131" s="403">
        <v>0</v>
      </c>
      <c r="AJ131" s="403">
        <v>24</v>
      </c>
      <c r="AK131" s="419"/>
      <c r="AL131" s="388">
        <v>2</v>
      </c>
      <c r="AM131" s="403" t="str">
        <f>VLOOKUP(Table2[[#This Row],[Course Title]],'TSD-Data'!$A$1:$G$70,7,FALSE)</f>
        <v>N4</v>
      </c>
    </row>
    <row r="132" spans="1:39" s="380" customFormat="1" x14ac:dyDescent="0.25">
      <c r="A132" s="413"/>
      <c r="B132" s="414" t="s">
        <v>35</v>
      </c>
      <c r="C132" s="370" t="str">
        <f>VLOOKUP(Table2[[#This Row],[Course Title]],'TSD-Data'!$A$1:$E$70,2,FALSE)</f>
        <v>A-493-2501</v>
      </c>
      <c r="D132" s="370" t="str">
        <f>VLOOKUP(Table2[[#This Row],[Course Title]],'TSD-Data'!$A$1:$E$70,3,FALSE)</f>
        <v>05ZE</v>
      </c>
      <c r="E132" s="414" t="s">
        <v>400</v>
      </c>
      <c r="F132" s="416">
        <v>46036</v>
      </c>
      <c r="G132" s="416">
        <v>46036</v>
      </c>
      <c r="H132" s="371" t="s">
        <v>752</v>
      </c>
      <c r="I132" s="417">
        <v>0.33333333333333331</v>
      </c>
      <c r="J132" s="417"/>
      <c r="K132" s="416"/>
      <c r="L132" s="416"/>
      <c r="M132" s="416"/>
      <c r="N132" s="416"/>
      <c r="O132" s="416"/>
      <c r="P132" s="418" t="s">
        <v>241</v>
      </c>
      <c r="Q132" s="418"/>
      <c r="R132" s="376"/>
      <c r="S132" s="370">
        <f>VLOOKUP(Table2[[#This Row],[Course Title]],'TSD-Data'!$A$1:$E$70,4,FALSE)</f>
        <v>30</v>
      </c>
      <c r="T132" s="377">
        <f>VLOOKUP(Table2[[#This Row],[Course Title]],'TSD-Data'!$A$1:$F$70,6,FALSE)</f>
        <v>8</v>
      </c>
      <c r="U132" s="378">
        <f>VLOOKUP(Table2[[#This Row],[Course Title]],'TSD-Data'!$A$1:$F$70,5,FALSE)</f>
        <v>1</v>
      </c>
      <c r="V132" s="379">
        <v>29</v>
      </c>
      <c r="W132" s="377"/>
      <c r="X132" s="377"/>
      <c r="Y132" s="420"/>
      <c r="Z132" s="420"/>
      <c r="AA132" s="415"/>
      <c r="AB132" s="415"/>
      <c r="AC132" s="421"/>
      <c r="AD132" s="421"/>
      <c r="AE132" s="420">
        <v>231</v>
      </c>
      <c r="AF132" s="415">
        <v>1</v>
      </c>
      <c r="AG132" s="403">
        <v>1</v>
      </c>
      <c r="AH132" s="403">
        <v>1</v>
      </c>
      <c r="AI132" s="403">
        <v>0</v>
      </c>
      <c r="AJ132" s="403">
        <v>8</v>
      </c>
      <c r="AK132" s="415"/>
      <c r="AL132" s="388">
        <v>2</v>
      </c>
      <c r="AM132" s="403" t="str">
        <f>VLOOKUP(Table2[[#This Row],[Course Title]],'TSD-Data'!$A$1:$G$70,7,FALSE)</f>
        <v>N4</v>
      </c>
    </row>
    <row r="133" spans="1:39" s="380" customFormat="1" x14ac:dyDescent="0.25">
      <c r="A133" s="413"/>
      <c r="B133" s="414" t="s">
        <v>35</v>
      </c>
      <c r="C133" s="370" t="str">
        <f>VLOOKUP(Table2[[#This Row],[Course Title]],'TSD-Data'!$A$1:$E$70,2,FALSE)</f>
        <v>A-493-2501</v>
      </c>
      <c r="D133" s="370" t="str">
        <f>VLOOKUP(Table2[[#This Row],[Course Title]],'TSD-Data'!$A$1:$E$70,3,FALSE)</f>
        <v>05ZE</v>
      </c>
      <c r="E133" s="414" t="s">
        <v>162</v>
      </c>
      <c r="F133" s="416">
        <v>46037</v>
      </c>
      <c r="G133" s="416">
        <v>46037</v>
      </c>
      <c r="H133" s="371" t="s">
        <v>752</v>
      </c>
      <c r="I133" s="417">
        <v>0.33333333333333331</v>
      </c>
      <c r="J133" s="417"/>
      <c r="K133" s="416"/>
      <c r="L133" s="416"/>
      <c r="M133" s="416"/>
      <c r="N133" s="416"/>
      <c r="O133" s="416"/>
      <c r="P133" s="418" t="s">
        <v>241</v>
      </c>
      <c r="Q133" s="418"/>
      <c r="R133" s="376"/>
      <c r="S133" s="370">
        <f>VLOOKUP(Table2[[#This Row],[Course Title]],'TSD-Data'!$A$1:$E$70,4,FALSE)</f>
        <v>30</v>
      </c>
      <c r="T133" s="377">
        <f>VLOOKUP(Table2[[#This Row],[Course Title]],'TSD-Data'!$A$1:$F$70,6,FALSE)</f>
        <v>8</v>
      </c>
      <c r="U133" s="378">
        <f>VLOOKUP(Table2[[#This Row],[Course Title]],'TSD-Data'!$A$1:$F$70,5,FALSE)</f>
        <v>1</v>
      </c>
      <c r="V133" s="379">
        <v>40</v>
      </c>
      <c r="W133" s="377"/>
      <c r="X133" s="377"/>
      <c r="Y133" s="420"/>
      <c r="Z133" s="420"/>
      <c r="AA133" s="415"/>
      <c r="AB133" s="415"/>
      <c r="AC133" s="421"/>
      <c r="AD133" s="421"/>
      <c r="AE133" s="420">
        <v>232</v>
      </c>
      <c r="AF133" s="415">
        <v>1</v>
      </c>
      <c r="AG133" s="403">
        <v>1</v>
      </c>
      <c r="AH133" s="403">
        <v>1</v>
      </c>
      <c r="AI133" s="403">
        <v>0</v>
      </c>
      <c r="AJ133" s="403">
        <v>8</v>
      </c>
      <c r="AK133" s="415"/>
      <c r="AL133" s="388">
        <v>2</v>
      </c>
      <c r="AM133" s="403" t="str">
        <f>VLOOKUP(Table2[[#This Row],[Course Title]],'TSD-Data'!$A$1:$G$70,7,FALSE)</f>
        <v>N4</v>
      </c>
    </row>
    <row r="134" spans="1:39" s="380" customFormat="1" x14ac:dyDescent="0.25">
      <c r="A134" s="413"/>
      <c r="B134" s="369" t="s">
        <v>31</v>
      </c>
      <c r="C134" s="370" t="str">
        <f>VLOOKUP(Table2[[#This Row],[Course Title]],'TSD-Data'!$A$1:$E$70,2,FALSE)</f>
        <v>A-493-0083</v>
      </c>
      <c r="D134" s="370" t="str">
        <f>VLOOKUP(Table2[[#This Row],[Course Title]],'TSD-Data'!$A$1:$E$70,3,FALSE)</f>
        <v>339E</v>
      </c>
      <c r="E134" s="414" t="s">
        <v>173</v>
      </c>
      <c r="F134" s="416">
        <v>46038</v>
      </c>
      <c r="G134" s="416">
        <v>46038</v>
      </c>
      <c r="H134" s="371" t="s">
        <v>752</v>
      </c>
      <c r="I134" s="417">
        <v>0.33333333333333331</v>
      </c>
      <c r="J134" s="417"/>
      <c r="K134" s="416"/>
      <c r="L134" s="416"/>
      <c r="M134" s="416"/>
      <c r="N134" s="416"/>
      <c r="O134" s="416"/>
      <c r="P134" s="418" t="s">
        <v>241</v>
      </c>
      <c r="Q134" s="418"/>
      <c r="R134" s="376"/>
      <c r="S134" s="370">
        <f>VLOOKUP(Table2[[#This Row],[Course Title]],'TSD-Data'!$A$1:$E$70,4,FALSE)</f>
        <v>30</v>
      </c>
      <c r="T134" s="377">
        <f>VLOOKUP(Table2[[#This Row],[Course Title]],'TSD-Data'!$A$1:$F$70,6,FALSE)</f>
        <v>8</v>
      </c>
      <c r="U134" s="378">
        <f>VLOOKUP(Table2[[#This Row],[Course Title]],'TSD-Data'!$A$1:$F$70,5,FALSE)</f>
        <v>1</v>
      </c>
      <c r="V134" s="379">
        <v>34</v>
      </c>
      <c r="W134" s="377"/>
      <c r="X134" s="377"/>
      <c r="Y134" s="420"/>
      <c r="Z134" s="420"/>
      <c r="AA134" s="415"/>
      <c r="AB134" s="415"/>
      <c r="AC134" s="421"/>
      <c r="AD134" s="421"/>
      <c r="AE134" s="420">
        <v>233</v>
      </c>
      <c r="AF134" s="415">
        <v>1</v>
      </c>
      <c r="AG134" s="403">
        <v>1</v>
      </c>
      <c r="AH134" s="403">
        <v>1</v>
      </c>
      <c r="AI134" s="403">
        <v>0</v>
      </c>
      <c r="AJ134" s="403">
        <v>8</v>
      </c>
      <c r="AK134" s="415"/>
      <c r="AL134" s="388">
        <v>2</v>
      </c>
      <c r="AM134" s="403" t="str">
        <f>VLOOKUP(Table2[[#This Row],[Course Title]],'TSD-Data'!$A$1:$G$70,7,FALSE)</f>
        <v>N4</v>
      </c>
    </row>
    <row r="135" spans="1:39" s="380" customFormat="1" x14ac:dyDescent="0.25">
      <c r="A135" s="384" t="s">
        <v>482</v>
      </c>
      <c r="B135" s="386" t="s">
        <v>181</v>
      </c>
      <c r="C135" s="370" t="str">
        <f>VLOOKUP(Table2[[#This Row],[Course Title]],'TSD-Data'!$A$1:$E$70,2,FALSE)</f>
        <v>Holiday</v>
      </c>
      <c r="D135" s="370" t="str">
        <f>VLOOKUP(Table2[[#This Row],[Course Title]],'TSD-Data'!$A$1:$E$70,3,FALSE)</f>
        <v>Holiday</v>
      </c>
      <c r="E135" s="386" t="s">
        <v>181</v>
      </c>
      <c r="F135" s="387">
        <v>46041</v>
      </c>
      <c r="G135" s="387">
        <v>46041</v>
      </c>
      <c r="H135" s="371" t="s">
        <v>788</v>
      </c>
      <c r="I135" s="388"/>
      <c r="J135" s="388"/>
      <c r="K135" s="388"/>
      <c r="L135" s="388"/>
      <c r="M135" s="388"/>
      <c r="N135" s="388"/>
      <c r="O135" s="388"/>
      <c r="P135" s="386" t="s">
        <v>322</v>
      </c>
      <c r="Q135" s="386"/>
      <c r="R135" s="386"/>
      <c r="S135" s="370">
        <f>VLOOKUP(Table2[[#This Row],[Course Title]],'TSD-Data'!$A$1:$E$70,4,FALSE)</f>
        <v>0</v>
      </c>
      <c r="T135" s="377">
        <f>VLOOKUP(Table2[[#This Row],[Course Title]],'TSD-Data'!$A$1:$F$70,6,FALSE)</f>
        <v>0</v>
      </c>
      <c r="U135" s="378">
        <f>VLOOKUP(Table2[[#This Row],[Course Title]],'TSD-Data'!$A$1:$F$70,5,FALSE)</f>
        <v>0</v>
      </c>
      <c r="V135" s="389">
        <v>0</v>
      </c>
      <c r="W135" s="388">
        <v>0</v>
      </c>
      <c r="X135" s="388">
        <v>0</v>
      </c>
      <c r="Y135" s="388">
        <v>0</v>
      </c>
      <c r="Z135" s="388">
        <v>0</v>
      </c>
      <c r="AA135" s="388">
        <v>0</v>
      </c>
      <c r="AB135" s="388">
        <v>0</v>
      </c>
      <c r="AC135" s="388">
        <v>0</v>
      </c>
      <c r="AD135" s="388" t="s">
        <v>247</v>
      </c>
      <c r="AE135" s="379">
        <f ca="1">Table2[[#This Row],[End Date]]+2-TODAY()</f>
        <v>225</v>
      </c>
      <c r="AF135" s="388">
        <v>0</v>
      </c>
      <c r="AG135" s="388">
        <v>0</v>
      </c>
      <c r="AH135" s="388">
        <v>0</v>
      </c>
      <c r="AI135" s="388">
        <v>0</v>
      </c>
      <c r="AJ135" s="388" t="e">
        <v>#DIV/0!</v>
      </c>
      <c r="AK135" s="388">
        <v>0</v>
      </c>
      <c r="AL135" s="388">
        <v>2</v>
      </c>
      <c r="AM135" s="403" t="str">
        <f>VLOOKUP(Table2[[#This Row],[Course Title]],'TSD-Data'!$A$1:$G$70,7,FALSE)</f>
        <v>TSD</v>
      </c>
    </row>
    <row r="136" spans="1:39" s="380" customFormat="1" x14ac:dyDescent="0.25">
      <c r="A136" s="424" t="s">
        <v>729</v>
      </c>
      <c r="B136" s="414" t="s">
        <v>28</v>
      </c>
      <c r="C136" s="370" t="str">
        <f>VLOOKUP(Table2[[#This Row],[Course Title]],'TSD-Data'!$A$1:$E$70,2,FALSE)</f>
        <v>A-493-0013</v>
      </c>
      <c r="D136" s="370">
        <f>VLOOKUP(Table2[[#This Row],[Course Title]],'TSD-Data'!$A$1:$E$70,3,FALSE)</f>
        <v>3683</v>
      </c>
      <c r="E136" s="414" t="s">
        <v>230</v>
      </c>
      <c r="F136" s="416">
        <v>46042</v>
      </c>
      <c r="G136" s="416">
        <v>46044</v>
      </c>
      <c r="H136" s="371" t="s">
        <v>752</v>
      </c>
      <c r="I136" s="417">
        <v>0.33333333333333331</v>
      </c>
      <c r="J136" s="417"/>
      <c r="K136" s="416"/>
      <c r="L136" s="416"/>
      <c r="M136" s="416"/>
      <c r="N136" s="416"/>
      <c r="O136" s="416"/>
      <c r="P136" s="418" t="s">
        <v>241</v>
      </c>
      <c r="Q136" s="418"/>
      <c r="R136" s="376"/>
      <c r="S136" s="370">
        <f>VLOOKUP(Table2[[#This Row],[Course Title]],'TSD-Data'!$A$1:$E$70,4,FALSE)</f>
        <v>40</v>
      </c>
      <c r="T136" s="377">
        <f>VLOOKUP(Table2[[#This Row],[Course Title]],'TSD-Data'!$A$1:$F$70,6,FALSE)</f>
        <v>24</v>
      </c>
      <c r="U136" s="378">
        <f>VLOOKUP(Table2[[#This Row],[Course Title]],'TSD-Data'!$A$1:$F$70,5,FALSE)</f>
        <v>3</v>
      </c>
      <c r="V136" s="379">
        <v>20</v>
      </c>
      <c r="W136" s="377"/>
      <c r="X136" s="377"/>
      <c r="Y136" s="420"/>
      <c r="Z136" s="420"/>
      <c r="AA136" s="415"/>
      <c r="AB136" s="415"/>
      <c r="AC136" s="421"/>
      <c r="AD136" s="421"/>
      <c r="AE136" s="420">
        <v>239</v>
      </c>
      <c r="AF136" s="415">
        <v>1</v>
      </c>
      <c r="AG136" s="403">
        <v>1</v>
      </c>
      <c r="AH136" s="403">
        <v>1</v>
      </c>
      <c r="AI136" s="403">
        <v>0</v>
      </c>
      <c r="AJ136" s="403">
        <v>24</v>
      </c>
      <c r="AK136" s="415"/>
      <c r="AL136" s="388">
        <v>2</v>
      </c>
      <c r="AM136" s="403" t="str">
        <f>VLOOKUP(Table2[[#This Row],[Course Title]],'TSD-Data'!$A$1:$G$70,7,FALSE)</f>
        <v>N4</v>
      </c>
    </row>
    <row r="137" spans="1:39" s="380" customFormat="1" x14ac:dyDescent="0.25">
      <c r="A137" s="368"/>
      <c r="B137" s="435" t="s">
        <v>50</v>
      </c>
      <c r="C137" s="370" t="str">
        <f>VLOOKUP(Table2[[#This Row],[Course Title]],'TSD-Data'!$A$1:$E$70,2,FALSE)</f>
        <v>A-493-0331</v>
      </c>
      <c r="D137" s="370" t="str">
        <f>VLOOKUP(Table2[[#This Row],[Course Title]],'TSD-Data'!$A$1:$E$70,3,FALSE)</f>
        <v>10UG</v>
      </c>
      <c r="E137" s="369" t="s">
        <v>86</v>
      </c>
      <c r="F137" s="371">
        <v>46042</v>
      </c>
      <c r="G137" s="371">
        <v>46044</v>
      </c>
      <c r="H137" s="371" t="s">
        <v>752</v>
      </c>
      <c r="I137" s="372"/>
      <c r="J137" s="372">
        <v>0.33333333333333331</v>
      </c>
      <c r="K137" s="372">
        <v>0.20833333333333334</v>
      </c>
      <c r="L137" s="388">
        <v>1600</v>
      </c>
      <c r="M137" s="388">
        <v>1400</v>
      </c>
      <c r="N137" s="372">
        <v>0.125</v>
      </c>
      <c r="O137" s="388">
        <v>2200</v>
      </c>
      <c r="P137" s="375" t="s">
        <v>233</v>
      </c>
      <c r="Q137" s="375"/>
      <c r="R137" s="376"/>
      <c r="S137" s="370">
        <f>VLOOKUP(Table2[[#This Row],[Course Title]],'TSD-Data'!$A$1:$E$70,4,FALSE)</f>
        <v>45</v>
      </c>
      <c r="T137" s="377">
        <f>VLOOKUP(Table2[[#This Row],[Course Title]],'TSD-Data'!$A$1:$F$70,6,FALSE)</f>
        <v>24</v>
      </c>
      <c r="U137" s="378">
        <f>VLOOKUP(Table2[[#This Row],[Course Title]],'TSD-Data'!$A$1:$F$70,5,FALSE)</f>
        <v>3</v>
      </c>
      <c r="V137" s="379">
        <v>470</v>
      </c>
      <c r="W137" s="377"/>
      <c r="X137" s="377"/>
      <c r="Y137" s="378"/>
      <c r="Z137" s="378"/>
      <c r="AA137" s="370"/>
      <c r="AB137" s="370"/>
      <c r="AC137" s="370"/>
      <c r="AD137" s="370"/>
      <c r="AE137" s="378">
        <f ca="1">Table2[[#This Row],[End Date]]+2-TODAY()</f>
        <v>228</v>
      </c>
      <c r="AF137" s="370">
        <f>IF(ISBLANK(Table2[[#This Row],[Roster Received by]]),1,0)</f>
        <v>1</v>
      </c>
      <c r="AG137" s="377">
        <f ca="1">IF(Table2[[#This Row],[Start Date]]&gt;TODAY(),1,)</f>
        <v>1</v>
      </c>
      <c r="AH137" s="377">
        <f>IF(ISBLANK(Table2[[#This Row],[Primary Instructor]]),0,1)</f>
        <v>1</v>
      </c>
      <c r="AI137" s="377">
        <f>IF(ISBLANK(Table2[[#This Row],[Instructor 2]]),0,1)</f>
        <v>0</v>
      </c>
      <c r="AJ137" s="377">
        <f>Table2[[#This Row],[Course Length (Hours)]]/(SUM(Table2[[#This Row],[1]:[2]]))</f>
        <v>24</v>
      </c>
      <c r="AK137" s="370"/>
      <c r="AL137" s="388">
        <v>2</v>
      </c>
      <c r="AM137" s="403" t="str">
        <f>VLOOKUP(Table2[[#This Row],[Course Title]],'TSD-Data'!$A$1:$G$70,7,FALSE)</f>
        <v>N3</v>
      </c>
    </row>
    <row r="138" spans="1:39" s="380" customFormat="1" x14ac:dyDescent="0.25">
      <c r="A138" s="368"/>
      <c r="B138" s="369" t="s">
        <v>51</v>
      </c>
      <c r="C138" s="370" t="str">
        <f>VLOOKUP(Table2[[#This Row],[Course Title]],'TSD-Data'!$A$1:$E$70,2,FALSE)</f>
        <v>A-493-0335</v>
      </c>
      <c r="D138" s="370" t="str">
        <f>VLOOKUP(Table2[[#This Row],[Course Title]],'TSD-Data'!$A$1:$E$70,3,FALSE)</f>
        <v>09ND</v>
      </c>
      <c r="E138" s="369" t="s">
        <v>86</v>
      </c>
      <c r="F138" s="371">
        <v>46042</v>
      </c>
      <c r="G138" s="371">
        <v>46045</v>
      </c>
      <c r="H138" s="371" t="s">
        <v>752</v>
      </c>
      <c r="I138" s="372"/>
      <c r="J138" s="372">
        <v>0.33333333333333331</v>
      </c>
      <c r="K138" s="372">
        <v>0.20833333333333334</v>
      </c>
      <c r="L138" s="388">
        <v>1600</v>
      </c>
      <c r="M138" s="388">
        <v>1400</v>
      </c>
      <c r="N138" s="372">
        <v>0.125</v>
      </c>
      <c r="O138" s="388">
        <v>2200</v>
      </c>
      <c r="P138" s="375" t="s">
        <v>292</v>
      </c>
      <c r="Q138" s="375"/>
      <c r="R138" s="376"/>
      <c r="S138" s="370">
        <f>VLOOKUP(Table2[[#This Row],[Course Title]],'TSD-Data'!$A$1:$E$70,4,FALSE)</f>
        <v>45</v>
      </c>
      <c r="T138" s="377">
        <f>VLOOKUP(Table2[[#This Row],[Course Title]],'TSD-Data'!$A$1:$F$70,6,FALSE)</f>
        <v>32</v>
      </c>
      <c r="U138" s="378">
        <f>VLOOKUP(Table2[[#This Row],[Course Title]],'TSD-Data'!$A$1:$F$70,5,FALSE)</f>
        <v>4</v>
      </c>
      <c r="V138" s="379">
        <v>301</v>
      </c>
      <c r="W138" s="377"/>
      <c r="X138" s="377"/>
      <c r="Y138" s="378"/>
      <c r="Z138" s="378"/>
      <c r="AA138" s="370"/>
      <c r="AB138" s="370"/>
      <c r="AC138" s="370"/>
      <c r="AD138" s="370"/>
      <c r="AE138" s="378">
        <f ca="1">Table2[[#This Row],[End Date]]+2-TODAY()</f>
        <v>229</v>
      </c>
      <c r="AF138" s="370">
        <f>IF(ISBLANK(Table2[[#This Row],[Roster Received by]]),1,0)</f>
        <v>1</v>
      </c>
      <c r="AG138" s="377">
        <f ca="1">IF(Table2[[#This Row],[Start Date]]&gt;TODAY(),1,)</f>
        <v>1</v>
      </c>
      <c r="AH138" s="377">
        <f>IF(ISBLANK(Table2[[#This Row],[Primary Instructor]]),0,1)</f>
        <v>1</v>
      </c>
      <c r="AI138" s="377">
        <f>IF(ISBLANK(Table2[[#This Row],[Instructor 2]]),0,1)</f>
        <v>0</v>
      </c>
      <c r="AJ138" s="377">
        <f>Table2[[#This Row],[Course Length (Hours)]]/(SUM(Table2[[#This Row],[1]:[2]]))</f>
        <v>32</v>
      </c>
      <c r="AK138" s="370"/>
      <c r="AL138" s="388">
        <v>2</v>
      </c>
      <c r="AM138" s="403" t="str">
        <f>VLOOKUP(Table2[[#This Row],[Course Title]],'TSD-Data'!$A$1:$G$70,7,FALSE)</f>
        <v>N3</v>
      </c>
    </row>
    <row r="139" spans="1:39" s="380" customFormat="1" x14ac:dyDescent="0.25">
      <c r="A139" s="368"/>
      <c r="B139" s="369" t="s">
        <v>61</v>
      </c>
      <c r="C139" s="370" t="str">
        <f>VLOOKUP(Table2[[#This Row],[Course Title]],'TSD-Data'!$A$1:$E$70,2,FALSE)</f>
        <v>A-493-0078</v>
      </c>
      <c r="D139" s="370">
        <f>VLOOKUP(Table2[[#This Row],[Course Title]],'TSD-Data'!$A$1:$E$70,3,FALSE)</f>
        <v>1228</v>
      </c>
      <c r="E139" s="369" t="s">
        <v>86</v>
      </c>
      <c r="F139" s="371">
        <v>46042</v>
      </c>
      <c r="G139" s="371">
        <v>46045</v>
      </c>
      <c r="H139" s="371" t="s">
        <v>752</v>
      </c>
      <c r="I139" s="372"/>
      <c r="J139" s="372">
        <v>0.33333333333333331</v>
      </c>
      <c r="K139" s="372">
        <v>0.20833333333333334</v>
      </c>
      <c r="L139" s="388">
        <v>1600</v>
      </c>
      <c r="M139" s="388">
        <v>1400</v>
      </c>
      <c r="N139" s="372">
        <v>0.125</v>
      </c>
      <c r="O139" s="388">
        <v>2200</v>
      </c>
      <c r="P139" s="375" t="s">
        <v>256</v>
      </c>
      <c r="Q139" s="375"/>
      <c r="R139" s="376"/>
      <c r="S139" s="370">
        <f>VLOOKUP(Table2[[#This Row],[Course Title]],'TSD-Data'!$A$1:$E$70,4,FALSE)</f>
        <v>45</v>
      </c>
      <c r="T139" s="377">
        <f>VLOOKUP(Table2[[#This Row],[Course Title]],'TSD-Data'!$A$1:$F$70,6,FALSE)</f>
        <v>32</v>
      </c>
      <c r="U139" s="378">
        <f>VLOOKUP(Table2[[#This Row],[Course Title]],'TSD-Data'!$A$1:$F$70,5,FALSE)</f>
        <v>4</v>
      </c>
      <c r="V139" s="379">
        <v>454</v>
      </c>
      <c r="W139" s="377"/>
      <c r="X139" s="377"/>
      <c r="Y139" s="378"/>
      <c r="Z139" s="378"/>
      <c r="AA139" s="370"/>
      <c r="AB139" s="370"/>
      <c r="AC139" s="370"/>
      <c r="AD139" s="370"/>
      <c r="AE139" s="378">
        <f ca="1">Table2[[#This Row],[End Date]]+2-TODAY()</f>
        <v>229</v>
      </c>
      <c r="AF139" s="370">
        <f>IF(ISBLANK(Table2[[#This Row],[Roster Received by]]),1,0)</f>
        <v>1</v>
      </c>
      <c r="AG139" s="377">
        <f ca="1">IF(Table2[[#This Row],[Start Date]]&gt;TODAY(),1,)</f>
        <v>1</v>
      </c>
      <c r="AH139" s="377">
        <f>IF(ISBLANK(Table2[[#This Row],[Primary Instructor]]),0,1)</f>
        <v>1</v>
      </c>
      <c r="AI139" s="377">
        <f>IF(ISBLANK(Table2[[#This Row],[Instructor 2]]),0,1)</f>
        <v>0</v>
      </c>
      <c r="AJ139" s="377">
        <f>Table2[[#This Row],[Course Length (Hours)]]/(SUM(Table2[[#This Row],[1]:[2]]))</f>
        <v>32</v>
      </c>
      <c r="AK139" s="370"/>
      <c r="AL139" s="388">
        <v>2</v>
      </c>
      <c r="AM139" s="403" t="str">
        <f>VLOOKUP(Table2[[#This Row],[Course Title]],'TSD-Data'!$A$1:$G$70,7,FALSE)</f>
        <v>N5</v>
      </c>
    </row>
    <row r="140" spans="1:39" s="380" customFormat="1" x14ac:dyDescent="0.25">
      <c r="A140" s="413"/>
      <c r="B140" s="369" t="s">
        <v>29</v>
      </c>
      <c r="C140" s="370" t="str">
        <f>VLOOKUP(Table2[[#This Row],[Course Title]],'TSD-Data'!$A$1:$E$70,2,FALSE)</f>
        <v>A-493-0077</v>
      </c>
      <c r="D140" s="370" t="str">
        <f>VLOOKUP(Table2[[#This Row],[Course Title]],'TSD-Data'!$A$1:$E$70,3,FALSE)</f>
        <v>0381</v>
      </c>
      <c r="E140" s="414" t="s">
        <v>421</v>
      </c>
      <c r="F140" s="416">
        <v>46043</v>
      </c>
      <c r="G140" s="416">
        <v>46045</v>
      </c>
      <c r="H140" s="371" t="s">
        <v>752</v>
      </c>
      <c r="I140" s="417">
        <v>0.33333333333333331</v>
      </c>
      <c r="J140" s="417"/>
      <c r="K140" s="416"/>
      <c r="L140" s="416"/>
      <c r="M140" s="416"/>
      <c r="N140" s="416"/>
      <c r="O140" s="416"/>
      <c r="P140" s="418" t="s">
        <v>241</v>
      </c>
      <c r="Q140" s="418"/>
      <c r="R140" s="376"/>
      <c r="S140" s="370">
        <f>VLOOKUP(Table2[[#This Row],[Course Title]],'TSD-Data'!$A$1:$E$70,4,FALSE)</f>
        <v>25</v>
      </c>
      <c r="T140" s="377">
        <f>VLOOKUP(Table2[[#This Row],[Course Title]],'TSD-Data'!$A$1:$F$70,6,FALSE)</f>
        <v>24</v>
      </c>
      <c r="U140" s="378">
        <f>VLOOKUP(Table2[[#This Row],[Course Title]],'TSD-Data'!$A$1:$F$70,5,FALSE)</f>
        <v>3</v>
      </c>
      <c r="V140" s="379">
        <v>12</v>
      </c>
      <c r="W140" s="377"/>
      <c r="X140" s="377"/>
      <c r="Y140" s="420"/>
      <c r="Z140" s="420"/>
      <c r="AA140" s="415"/>
      <c r="AB140" s="415"/>
      <c r="AC140" s="421"/>
      <c r="AD140" s="421"/>
      <c r="AE140" s="420">
        <v>240</v>
      </c>
      <c r="AF140" s="415">
        <v>1</v>
      </c>
      <c r="AG140" s="403">
        <v>1</v>
      </c>
      <c r="AH140" s="403">
        <v>1</v>
      </c>
      <c r="AI140" s="403">
        <v>0</v>
      </c>
      <c r="AJ140" s="403">
        <v>24</v>
      </c>
      <c r="AK140" s="415"/>
      <c r="AL140" s="388">
        <v>2</v>
      </c>
      <c r="AM140" s="403" t="str">
        <f>VLOOKUP(Table2[[#This Row],[Course Title]],'TSD-Data'!$A$1:$G$70,7,FALSE)</f>
        <v>N4</v>
      </c>
    </row>
    <row r="141" spans="1:39" s="380" customFormat="1" x14ac:dyDescent="0.25">
      <c r="A141" s="368"/>
      <c r="B141" s="432" t="s">
        <v>55</v>
      </c>
      <c r="C141" s="370" t="str">
        <f>VLOOKUP(Table2[[#This Row],[Course Title]],'TSD-Data'!$A$1:$E$70,2,FALSE)</f>
        <v>A-493-0103</v>
      </c>
      <c r="D141" s="370" t="str">
        <f>VLOOKUP(Table2[[#This Row],[Course Title]],'TSD-Data'!$A$1:$E$70,3,FALSE)</f>
        <v>12JY</v>
      </c>
      <c r="E141" s="369" t="s">
        <v>176</v>
      </c>
      <c r="F141" s="371">
        <v>46048</v>
      </c>
      <c r="G141" s="371">
        <v>46052</v>
      </c>
      <c r="H141" s="371" t="s">
        <v>752</v>
      </c>
      <c r="I141" s="372">
        <v>0.33333333333333331</v>
      </c>
      <c r="J141" s="372"/>
      <c r="K141" s="371"/>
      <c r="L141" s="371"/>
      <c r="M141" s="371"/>
      <c r="N141" s="371"/>
      <c r="O141" s="371"/>
      <c r="P141" s="375" t="s">
        <v>289</v>
      </c>
      <c r="Q141" s="375"/>
      <c r="R141" s="376"/>
      <c r="S141" s="370">
        <f>VLOOKUP(Table2[[#This Row],[Course Title]],'TSD-Data'!$A$1:$E$70,4,FALSE)</f>
        <v>25</v>
      </c>
      <c r="T141" s="377">
        <f>VLOOKUP(Table2[[#This Row],[Course Title]],'TSD-Data'!$A$1:$F$70,6,FALSE)</f>
        <v>40</v>
      </c>
      <c r="U141" s="378">
        <f>VLOOKUP(Table2[[#This Row],[Course Title]],'TSD-Data'!$A$1:$F$70,5,FALSE)</f>
        <v>5</v>
      </c>
      <c r="V141" s="379">
        <v>516</v>
      </c>
      <c r="W141" s="377"/>
      <c r="X141" s="377"/>
      <c r="Y141" s="378"/>
      <c r="Z141" s="378"/>
      <c r="AA141" s="370"/>
      <c r="AB141" s="370"/>
      <c r="AC141" s="370"/>
      <c r="AD141" s="370"/>
      <c r="AE141" s="378">
        <f ca="1">Table2[[#This Row],[End Date]]+2-TODAY()</f>
        <v>236</v>
      </c>
      <c r="AF141" s="370">
        <f>IF(ISBLANK(Table2[[#This Row],[Roster Received by]]),1,0)</f>
        <v>1</v>
      </c>
      <c r="AG141" s="377">
        <f ca="1">IF(Table2[[#This Row],[Start Date]]&gt;TODAY(),1,)</f>
        <v>1</v>
      </c>
      <c r="AH141" s="377">
        <f>IF(ISBLANK(Table2[[#This Row],[Primary Instructor]]),0,1)</f>
        <v>1</v>
      </c>
      <c r="AI141" s="377">
        <f>IF(ISBLANK(Table2[[#This Row],[Instructor 2]]),0,1)</f>
        <v>0</v>
      </c>
      <c r="AJ141" s="377">
        <f>Table2[[#This Row],[Course Length (Hours)]]/(SUM(Table2[[#This Row],[1]:[2]]))</f>
        <v>40</v>
      </c>
      <c r="AK141" s="370"/>
      <c r="AL141" s="388">
        <v>2</v>
      </c>
      <c r="AM141" s="403" t="str">
        <f>VLOOKUP(Table2[[#This Row],[Course Title]],'TSD-Data'!$A$1:$G$70,7,FALSE)</f>
        <v>N5</v>
      </c>
    </row>
    <row r="142" spans="1:39" s="380" customFormat="1" x14ac:dyDescent="0.25">
      <c r="A142" s="368"/>
      <c r="B142" s="369" t="s">
        <v>38</v>
      </c>
      <c r="C142" s="370" t="str">
        <f>VLOOKUP(Table2[[#This Row],[Course Title]],'TSD-Data'!$A$1:$E$70,2,FALSE)</f>
        <v>A-493-0061</v>
      </c>
      <c r="D142" s="370" t="str">
        <f>VLOOKUP(Table2[[#This Row],[Course Title]],'TSD-Data'!$A$1:$E$70,3,FALSE)</f>
        <v>288E</v>
      </c>
      <c r="E142" s="369" t="s">
        <v>86</v>
      </c>
      <c r="F142" s="371">
        <v>46048</v>
      </c>
      <c r="G142" s="371">
        <v>46051</v>
      </c>
      <c r="H142" s="371" t="s">
        <v>752</v>
      </c>
      <c r="I142" s="372"/>
      <c r="J142" s="372">
        <v>0.33333333333333331</v>
      </c>
      <c r="K142" s="440">
        <v>0.20833333333333334</v>
      </c>
      <c r="L142" s="388">
        <v>1600</v>
      </c>
      <c r="M142" s="388">
        <v>1400</v>
      </c>
      <c r="N142" s="372">
        <v>0.125</v>
      </c>
      <c r="O142" s="388">
        <v>2200</v>
      </c>
      <c r="P142" s="375" t="s">
        <v>274</v>
      </c>
      <c r="Q142" s="375"/>
      <c r="R142" s="376"/>
      <c r="S142" s="370">
        <f>VLOOKUP(Table2[[#This Row],[Course Title]],'TSD-Data'!$A$1:$E$70,4,FALSE)</f>
        <v>45</v>
      </c>
      <c r="T142" s="377">
        <f>VLOOKUP(Table2[[#This Row],[Course Title]],'TSD-Data'!$A$1:$F$70,6,FALSE)</f>
        <v>30</v>
      </c>
      <c r="U142" s="378">
        <f>VLOOKUP(Table2[[#This Row],[Course Title]],'TSD-Data'!$A$1:$F$70,5,FALSE)</f>
        <v>4</v>
      </c>
      <c r="V142" s="379">
        <v>366</v>
      </c>
      <c r="W142" s="377"/>
      <c r="X142" s="377"/>
      <c r="Y142" s="378"/>
      <c r="Z142" s="378"/>
      <c r="AA142" s="370"/>
      <c r="AB142" s="370"/>
      <c r="AC142" s="370"/>
      <c r="AD142" s="370"/>
      <c r="AE142" s="378">
        <f ca="1">Table2[[#This Row],[End Date]]+2-TODAY()</f>
        <v>235</v>
      </c>
      <c r="AF142" s="370">
        <f>IF(ISBLANK(Table2[[#This Row],[Roster Received by]]),1,0)</f>
        <v>1</v>
      </c>
      <c r="AG142" s="377">
        <f ca="1">IF(Table2[[#This Row],[Start Date]]&gt;TODAY(),1,)</f>
        <v>1</v>
      </c>
      <c r="AH142" s="377">
        <f>IF(ISBLANK(Table2[[#This Row],[Primary Instructor]]),0,1)</f>
        <v>1</v>
      </c>
      <c r="AI142" s="377">
        <f>IF(ISBLANK(Table2[[#This Row],[Instructor 2]]),0,1)</f>
        <v>0</v>
      </c>
      <c r="AJ142" s="377">
        <f>Table2[[#This Row],[Course Length (Hours)]]/(SUM(Table2[[#This Row],[1]:[2]]))</f>
        <v>30</v>
      </c>
      <c r="AK142" s="370"/>
      <c r="AL142" s="388">
        <v>2</v>
      </c>
      <c r="AM142" s="403" t="str">
        <f>VLOOKUP(Table2[[#This Row],[Course Title]],'TSD-Data'!$A$1:$G$70,7,FALSE)</f>
        <v>N5</v>
      </c>
    </row>
    <row r="143" spans="1:39" s="380" customFormat="1" x14ac:dyDescent="0.25">
      <c r="A143" s="368"/>
      <c r="B143" s="369" t="s">
        <v>120</v>
      </c>
      <c r="C143" s="370" t="str">
        <f>VLOOKUP(Table2[[#This Row],[Course Title]],'TSD-Data'!$A$1:$E$70,2,FALSE)</f>
        <v>A-322-2604</v>
      </c>
      <c r="D143" s="370" t="str">
        <f>VLOOKUP(Table2[[#This Row],[Course Title]],'TSD-Data'!$A$1:$E$70,3,FALSE)</f>
        <v>10ZZ</v>
      </c>
      <c r="E143" s="369" t="s">
        <v>86</v>
      </c>
      <c r="F143" s="371">
        <v>46048</v>
      </c>
      <c r="G143" s="371">
        <v>46050</v>
      </c>
      <c r="H143" s="371" t="s">
        <v>752</v>
      </c>
      <c r="I143" s="372"/>
      <c r="J143" s="372">
        <v>0.79166666666666663</v>
      </c>
      <c r="K143" s="381">
        <v>0.66666666666666663</v>
      </c>
      <c r="L143" s="381">
        <v>0.125</v>
      </c>
      <c r="M143" s="381">
        <v>4.1666666666666664E-2</v>
      </c>
      <c r="N143" s="381">
        <v>0.58333333333333337</v>
      </c>
      <c r="O143" s="381">
        <v>0.375</v>
      </c>
      <c r="P143" s="375" t="s">
        <v>248</v>
      </c>
      <c r="Q143" s="375"/>
      <c r="R143" s="376"/>
      <c r="S143" s="370">
        <f>VLOOKUP(Table2[[#This Row],[Course Title]],'TSD-Data'!$A$1:$E$70,4,FALSE)</f>
        <v>45</v>
      </c>
      <c r="T143" s="377">
        <f>VLOOKUP(Table2[[#This Row],[Course Title]],'TSD-Data'!$A$1:$F$70,6,FALSE)</f>
        <v>24</v>
      </c>
      <c r="U143" s="378">
        <f>VLOOKUP(Table2[[#This Row],[Course Title]],'TSD-Data'!$A$1:$F$70,5,FALSE)</f>
        <v>3</v>
      </c>
      <c r="V143" s="379">
        <v>174</v>
      </c>
      <c r="W143" s="377"/>
      <c r="X143" s="377"/>
      <c r="Y143" s="378"/>
      <c r="Z143" s="378"/>
      <c r="AA143" s="370"/>
      <c r="AB143" s="370"/>
      <c r="AC143" s="370"/>
      <c r="AD143" s="370"/>
      <c r="AE143" s="378">
        <f ca="1">Table2[[#This Row],[End Date]]+2-TODAY()</f>
        <v>234</v>
      </c>
      <c r="AF143" s="370">
        <f>IF(ISBLANK(Table2[[#This Row],[Roster Received by]]),1,0)</f>
        <v>1</v>
      </c>
      <c r="AG143" s="377">
        <f ca="1">IF(Table2[[#This Row],[Start Date]]&gt;TODAY(),1,)</f>
        <v>1</v>
      </c>
      <c r="AH143" s="377">
        <f>IF(ISBLANK(Table2[[#This Row],[Primary Instructor]]),0,1)</f>
        <v>1</v>
      </c>
      <c r="AI143" s="377">
        <f>IF(ISBLANK(Table2[[#This Row],[Instructor 2]]),0,1)</f>
        <v>0</v>
      </c>
      <c r="AJ143" s="377">
        <f>Table2[[#This Row],[Course Length (Hours)]]/(SUM(Table2[[#This Row],[1]:[2]]))</f>
        <v>24</v>
      </c>
      <c r="AK143" s="370"/>
      <c r="AL143" s="388">
        <v>2</v>
      </c>
      <c r="AM143" s="403" t="str">
        <f>VLOOKUP(Table2[[#This Row],[Course Title]],'TSD-Data'!$A$1:$G$70,7,FALSE)</f>
        <v>N3</v>
      </c>
    </row>
    <row r="144" spans="1:39" s="380" customFormat="1" x14ac:dyDescent="0.25">
      <c r="A144" s="368"/>
      <c r="B144" s="369" t="s">
        <v>59</v>
      </c>
      <c r="C144" s="370" t="str">
        <f>VLOOKUP(Table2[[#This Row],[Course Title]],'TSD-Data'!$A$1:$E$70,2,FALSE)</f>
        <v>A-493-0550</v>
      </c>
      <c r="D144" s="370" t="str">
        <f>VLOOKUP(Table2[[#This Row],[Course Title]],'TSD-Data'!$A$1:$E$70,3,FALSE)</f>
        <v>09K5</v>
      </c>
      <c r="E144" s="369" t="s">
        <v>86</v>
      </c>
      <c r="F144" s="371">
        <v>46048</v>
      </c>
      <c r="G144" s="371">
        <v>46051</v>
      </c>
      <c r="H144" s="371" t="s">
        <v>752</v>
      </c>
      <c r="I144" s="372"/>
      <c r="J144" s="381">
        <v>0.5</v>
      </c>
      <c r="K144" s="381">
        <v>0.375</v>
      </c>
      <c r="L144" s="381">
        <v>0.83333333333333337</v>
      </c>
      <c r="M144" s="381">
        <v>0.75</v>
      </c>
      <c r="N144" s="381">
        <v>0.29166666666666669</v>
      </c>
      <c r="O144" s="381">
        <v>8.3333333333333329E-2</v>
      </c>
      <c r="P144" s="375" t="s">
        <v>272</v>
      </c>
      <c r="Q144" s="375"/>
      <c r="R144" s="376"/>
      <c r="S144" s="370">
        <f>VLOOKUP(Table2[[#This Row],[Course Title]],'TSD-Data'!$A$1:$E$70,4,FALSE)</f>
        <v>45</v>
      </c>
      <c r="T144" s="377">
        <f>VLOOKUP(Table2[[#This Row],[Course Title]],'TSD-Data'!$A$1:$F$70,6,FALSE)</f>
        <v>32</v>
      </c>
      <c r="U144" s="378">
        <f>VLOOKUP(Table2[[#This Row],[Course Title]],'TSD-Data'!$A$1:$F$70,5,FALSE)</f>
        <v>4</v>
      </c>
      <c r="V144" s="379">
        <v>864</v>
      </c>
      <c r="W144" s="377"/>
      <c r="X144" s="377"/>
      <c r="Y144" s="378"/>
      <c r="Z144" s="378"/>
      <c r="AA144" s="370"/>
      <c r="AB144" s="370"/>
      <c r="AC144" s="370"/>
      <c r="AD144" s="370"/>
      <c r="AE144" s="378">
        <f ca="1">Table2[[#This Row],[End Date]]+2-TODAY()</f>
        <v>235</v>
      </c>
      <c r="AF144" s="370">
        <f>IF(ISBLANK(Table2[[#This Row],[Roster Received by]]),1,0)</f>
        <v>1</v>
      </c>
      <c r="AG144" s="377">
        <f ca="1">IF(Table2[[#This Row],[Start Date]]&gt;TODAY(),1,)</f>
        <v>1</v>
      </c>
      <c r="AH144" s="377">
        <f>IF(ISBLANK(Table2[[#This Row],[Primary Instructor]]),0,1)</f>
        <v>1</v>
      </c>
      <c r="AI144" s="377">
        <f>IF(ISBLANK(Table2[[#This Row],[Instructor 2]]),0,1)</f>
        <v>0</v>
      </c>
      <c r="AJ144" s="377">
        <f>Table2[[#This Row],[Course Length (Hours)]]/(SUM(Table2[[#This Row],[1]:[2]]))</f>
        <v>32</v>
      </c>
      <c r="AK144" s="370"/>
      <c r="AL144" s="388">
        <v>2</v>
      </c>
      <c r="AM144" s="403" t="str">
        <f>VLOOKUP(Table2[[#This Row],[Course Title]],'TSD-Data'!$A$1:$G$70,7,FALSE)</f>
        <v>N5</v>
      </c>
    </row>
    <row r="145" spans="1:39" s="380" customFormat="1" x14ac:dyDescent="0.25">
      <c r="A145" s="368"/>
      <c r="B145" s="369" t="s">
        <v>39</v>
      </c>
      <c r="C145" s="370" t="str">
        <f>VLOOKUP(Table2[[#This Row],[Course Title]],'TSD-Data'!$A$1:$E$70,2,FALSE)</f>
        <v>A-570-0100</v>
      </c>
      <c r="D145" s="370" t="str">
        <f>VLOOKUP(Table2[[#This Row],[Course Title]],'TSD-Data'!$A$1:$E$70,3,FALSE)</f>
        <v>18B7</v>
      </c>
      <c r="E145" s="369" t="s">
        <v>86</v>
      </c>
      <c r="F145" s="371">
        <v>46048</v>
      </c>
      <c r="G145" s="371">
        <v>46049</v>
      </c>
      <c r="H145" s="371" t="s">
        <v>752</v>
      </c>
      <c r="I145" s="372"/>
      <c r="J145" s="372">
        <v>0.79166666666666663</v>
      </c>
      <c r="K145" s="381">
        <v>0.66666666666666663</v>
      </c>
      <c r="L145" s="381">
        <v>0.125</v>
      </c>
      <c r="M145" s="381">
        <v>4.1666666666666664E-2</v>
      </c>
      <c r="N145" s="381">
        <v>0.58333333333333337</v>
      </c>
      <c r="O145" s="381">
        <v>0.375</v>
      </c>
      <c r="P145" s="375" t="s">
        <v>252</v>
      </c>
      <c r="Q145" s="375"/>
      <c r="R145" s="376"/>
      <c r="S145" s="370">
        <f>VLOOKUP(Table2[[#This Row],[Course Title]],'TSD-Data'!$A$1:$E$70,4,FALSE)</f>
        <v>45</v>
      </c>
      <c r="T145" s="377">
        <f>VLOOKUP(Table2[[#This Row],[Course Title]],'TSD-Data'!$A$1:$F$70,6,FALSE)</f>
        <v>16</v>
      </c>
      <c r="U145" s="378">
        <f>VLOOKUP(Table2[[#This Row],[Course Title]],'TSD-Data'!$A$1:$F$70,5,FALSE)</f>
        <v>2</v>
      </c>
      <c r="V145" s="379">
        <v>126</v>
      </c>
      <c r="W145" s="377"/>
      <c r="X145" s="377"/>
      <c r="Y145" s="378"/>
      <c r="Z145" s="378"/>
      <c r="AA145" s="370"/>
      <c r="AB145" s="370"/>
      <c r="AC145" s="370"/>
      <c r="AD145" s="370"/>
      <c r="AE145" s="378">
        <f ca="1">Table2[[#This Row],[End Date]]+2-TODAY()</f>
        <v>233</v>
      </c>
      <c r="AF145" s="370">
        <f>IF(ISBLANK(Table2[[#This Row],[Roster Received by]]),1,0)</f>
        <v>1</v>
      </c>
      <c r="AG145" s="377">
        <f ca="1">IF(Table2[[#This Row],[Start Date]]&gt;TODAY(),1,)</f>
        <v>1</v>
      </c>
      <c r="AH145" s="377">
        <f>IF(ISBLANK(Table2[[#This Row],[Primary Instructor]]),0,1)</f>
        <v>1</v>
      </c>
      <c r="AI145" s="377">
        <f>IF(ISBLANK(Table2[[#This Row],[Instructor 2]]),0,1)</f>
        <v>0</v>
      </c>
      <c r="AJ145" s="377">
        <f>Table2[[#This Row],[Course Length (Hours)]]/(SUM(Table2[[#This Row],[1]:[2]]))</f>
        <v>16</v>
      </c>
      <c r="AK145" s="370"/>
      <c r="AL145" s="388">
        <v>2</v>
      </c>
      <c r="AM145" s="403" t="str">
        <f>VLOOKUP(Table2[[#This Row],[Course Title]],'TSD-Data'!$A$1:$G$70,7,FALSE)</f>
        <v>N5</v>
      </c>
    </row>
    <row r="146" spans="1:39" s="380" customFormat="1" x14ac:dyDescent="0.25">
      <c r="A146" s="368"/>
      <c r="B146" s="369" t="s">
        <v>53</v>
      </c>
      <c r="C146" s="370" t="str">
        <f>VLOOKUP(Table2[[#This Row],[Course Title]],'TSD-Data'!$A$1:$E$70,2,FALSE)</f>
        <v>A-493-0072</v>
      </c>
      <c r="D146" s="370" t="str">
        <f>VLOOKUP(Table2[[#This Row],[Course Title]],'TSD-Data'!$A$1:$E$70,3,FALSE)</f>
        <v>713U</v>
      </c>
      <c r="E146" s="369" t="s">
        <v>174</v>
      </c>
      <c r="F146" s="371">
        <v>46048</v>
      </c>
      <c r="G146" s="371">
        <v>46052</v>
      </c>
      <c r="H146" s="371" t="s">
        <v>752</v>
      </c>
      <c r="I146" s="372">
        <v>0.33333333333333331</v>
      </c>
      <c r="J146" s="372"/>
      <c r="K146" s="371"/>
      <c r="L146" s="371"/>
      <c r="M146" s="371"/>
      <c r="N146" s="371"/>
      <c r="O146" s="371"/>
      <c r="P146" s="375" t="s">
        <v>299</v>
      </c>
      <c r="Q146" s="375"/>
      <c r="R146" s="376"/>
      <c r="S146" s="370">
        <f>VLOOKUP(Table2[[#This Row],[Course Title]],'TSD-Data'!$A$1:$E$70,4,FALSE)</f>
        <v>30</v>
      </c>
      <c r="T146" s="377">
        <f>VLOOKUP(Table2[[#This Row],[Course Title]],'TSD-Data'!$A$1:$F$70,6,FALSE)</f>
        <v>40</v>
      </c>
      <c r="U146" s="378">
        <f>VLOOKUP(Table2[[#This Row],[Course Title]],'TSD-Data'!$A$1:$F$70,5,FALSE)</f>
        <v>5</v>
      </c>
      <c r="V146" s="379">
        <v>99</v>
      </c>
      <c r="W146" s="377"/>
      <c r="X146" s="377"/>
      <c r="Y146" s="378"/>
      <c r="Z146" s="378"/>
      <c r="AA146" s="370"/>
      <c r="AB146" s="370"/>
      <c r="AC146" s="370"/>
      <c r="AD146" s="370"/>
      <c r="AE146" s="378">
        <f ca="1">Table2[[#This Row],[End Date]]+2-TODAY()</f>
        <v>236</v>
      </c>
      <c r="AF146" s="370">
        <f>IF(ISBLANK(Table2[[#This Row],[Roster Received by]]),1,0)</f>
        <v>1</v>
      </c>
      <c r="AG146" s="377">
        <f ca="1">IF(Table2[[#This Row],[Start Date]]&gt;TODAY(),1,)</f>
        <v>1</v>
      </c>
      <c r="AH146" s="377">
        <f>IF(ISBLANK(Table2[[#This Row],[Primary Instructor]]),0,1)</f>
        <v>1</v>
      </c>
      <c r="AI146" s="377">
        <f>IF(ISBLANK(Table2[[#This Row],[Instructor 2]]),0,1)</f>
        <v>0</v>
      </c>
      <c r="AJ146" s="377">
        <f>Table2[[#This Row],[Course Length (Hours)]]/(SUM(Table2[[#This Row],[1]:[2]]))</f>
        <v>40</v>
      </c>
      <c r="AK146" s="370"/>
      <c r="AL146" s="388">
        <v>2</v>
      </c>
      <c r="AM146" s="403" t="str">
        <f>VLOOKUP(Table2[[#This Row],[Course Title]],'TSD-Data'!$A$1:$G$70,7,FALSE)</f>
        <v>N3</v>
      </c>
    </row>
    <row r="147" spans="1:39" s="380" customFormat="1" x14ac:dyDescent="0.25">
      <c r="A147" s="368"/>
      <c r="B147" s="369" t="s">
        <v>40</v>
      </c>
      <c r="C147" s="370" t="str">
        <f>VLOOKUP(Table2[[#This Row],[Course Title]],'TSD-Data'!$A$1:$E$70,2,FALSE)</f>
        <v>A-493-2098</v>
      </c>
      <c r="D147" s="370" t="str">
        <f>VLOOKUP(Table2[[#This Row],[Course Title]],'TSD-Data'!$A$1:$E$70,3,FALSE)</f>
        <v>09WW</v>
      </c>
      <c r="E147" s="369" t="s">
        <v>86</v>
      </c>
      <c r="F147" s="371">
        <v>46048</v>
      </c>
      <c r="G147" s="371">
        <v>46050</v>
      </c>
      <c r="H147" s="371" t="s">
        <v>752</v>
      </c>
      <c r="I147" s="372"/>
      <c r="J147" s="381">
        <v>0.5</v>
      </c>
      <c r="K147" s="381">
        <v>0.375</v>
      </c>
      <c r="L147" s="381">
        <v>0.83333333333333337</v>
      </c>
      <c r="M147" s="381">
        <v>0.75</v>
      </c>
      <c r="N147" s="381">
        <v>0.29166666666666669</v>
      </c>
      <c r="O147" s="381">
        <v>8.3333333333333329E-2</v>
      </c>
      <c r="P147" s="375" t="s">
        <v>244</v>
      </c>
      <c r="Q147" s="375"/>
      <c r="R147" s="376"/>
      <c r="S147" s="370">
        <f>VLOOKUP(Table2[[#This Row],[Course Title]],'TSD-Data'!$A$1:$E$70,4,FALSE)</f>
        <v>100</v>
      </c>
      <c r="T147" s="377">
        <f>VLOOKUP(Table2[[#This Row],[Course Title]],'TSD-Data'!$A$1:$F$70,6,FALSE)</f>
        <v>16</v>
      </c>
      <c r="U147" s="378">
        <f>VLOOKUP(Table2[[#This Row],[Course Title]],'TSD-Data'!$A$1:$F$70,5,FALSE)</f>
        <v>3</v>
      </c>
      <c r="V147" s="379">
        <v>1882</v>
      </c>
      <c r="W147" s="377"/>
      <c r="X147" s="377"/>
      <c r="Y147" s="378"/>
      <c r="Z147" s="378"/>
      <c r="AA147" s="370"/>
      <c r="AB147" s="370"/>
      <c r="AC147" s="370"/>
      <c r="AD147" s="370"/>
      <c r="AE147" s="378">
        <f ca="1">Table2[[#This Row],[End Date]]+2-TODAY()</f>
        <v>234</v>
      </c>
      <c r="AF147" s="370">
        <f>IF(ISBLANK(Table2[[#This Row],[Roster Received by]]),1,0)</f>
        <v>1</v>
      </c>
      <c r="AG147" s="377">
        <f ca="1">IF(Table2[[#This Row],[Start Date]]&gt;TODAY(),1,)</f>
        <v>1</v>
      </c>
      <c r="AH147" s="377">
        <f>IF(ISBLANK(Table2[[#This Row],[Primary Instructor]]),0,1)</f>
        <v>1</v>
      </c>
      <c r="AI147" s="377">
        <f>IF(ISBLANK(Table2[[#This Row],[Instructor 2]]),0,1)</f>
        <v>0</v>
      </c>
      <c r="AJ147" s="377">
        <f>Table2[[#This Row],[Course Length (Hours)]]/(SUM(Table2[[#This Row],[1]:[2]]))</f>
        <v>16</v>
      </c>
      <c r="AK147" s="370"/>
      <c r="AL147" s="388">
        <v>2</v>
      </c>
      <c r="AM147" s="403" t="str">
        <f>VLOOKUP(Table2[[#This Row],[Course Title]],'TSD-Data'!$A$1:$G$70,7,FALSE)</f>
        <v>N1</v>
      </c>
    </row>
    <row r="148" spans="1:39" s="380" customFormat="1" x14ac:dyDescent="0.25">
      <c r="A148" s="368"/>
      <c r="B148" s="369" t="s">
        <v>57</v>
      </c>
      <c r="C148" s="370" t="str">
        <f>VLOOKUP(Table2[[#This Row],[Course Title]],'TSD-Data'!$A$1:$E$70,2,FALSE)</f>
        <v>A-493-0099</v>
      </c>
      <c r="D148" s="370" t="str">
        <f>VLOOKUP(Table2[[#This Row],[Course Title]],'TSD-Data'!$A$1:$E$70,3,FALSE)</f>
        <v>12JW</v>
      </c>
      <c r="E148" s="369" t="s">
        <v>86</v>
      </c>
      <c r="F148" s="371">
        <v>46049</v>
      </c>
      <c r="G148" s="371">
        <v>46051</v>
      </c>
      <c r="H148" s="371" t="s">
        <v>752</v>
      </c>
      <c r="I148" s="372"/>
      <c r="J148" s="381">
        <v>0.5</v>
      </c>
      <c r="K148" s="381">
        <v>0.375</v>
      </c>
      <c r="L148" s="381">
        <v>0.83333333333333337</v>
      </c>
      <c r="M148" s="381">
        <v>0.75</v>
      </c>
      <c r="N148" s="381">
        <v>0.29166666666666669</v>
      </c>
      <c r="O148" s="381">
        <v>8.3333333333333329E-2</v>
      </c>
      <c r="P148" s="375" t="s">
        <v>277</v>
      </c>
      <c r="Q148" s="375"/>
      <c r="R148" s="376"/>
      <c r="S148" s="370">
        <f>VLOOKUP(Table2[[#This Row],[Course Title]],'TSD-Data'!$A$1:$E$70,4,FALSE)</f>
        <v>45</v>
      </c>
      <c r="T148" s="377">
        <f>VLOOKUP(Table2[[#This Row],[Course Title]],'TSD-Data'!$A$1:$F$70,6,FALSE)</f>
        <v>24</v>
      </c>
      <c r="U148" s="378">
        <f>VLOOKUP(Table2[[#This Row],[Course Title]],'TSD-Data'!$A$1:$F$70,5,FALSE)</f>
        <v>3</v>
      </c>
      <c r="V148" s="379">
        <v>934</v>
      </c>
      <c r="W148" s="377"/>
      <c r="X148" s="377"/>
      <c r="Y148" s="378"/>
      <c r="Z148" s="378"/>
      <c r="AA148" s="370"/>
      <c r="AB148" s="370"/>
      <c r="AC148" s="370"/>
      <c r="AD148" s="370"/>
      <c r="AE148" s="378">
        <f ca="1">Table2[[#This Row],[End Date]]+2-TODAY()</f>
        <v>235</v>
      </c>
      <c r="AF148" s="370">
        <f>IF(ISBLANK(Table2[[#This Row],[Roster Received by]]),1,0)</f>
        <v>1</v>
      </c>
      <c r="AG148" s="377">
        <f ca="1">IF(Table2[[#This Row],[Start Date]]&gt;TODAY(),1,)</f>
        <v>1</v>
      </c>
      <c r="AH148" s="377">
        <f>IF(ISBLANK(Table2[[#This Row],[Primary Instructor]]),0,1)</f>
        <v>1</v>
      </c>
      <c r="AI148" s="377">
        <f>IF(ISBLANK(Table2[[#This Row],[Instructor 2]]),0,1)</f>
        <v>0</v>
      </c>
      <c r="AJ148" s="377">
        <f>Table2[[#This Row],[Course Length (Hours)]]/(SUM(Table2[[#This Row],[1]:[2]]))</f>
        <v>24</v>
      </c>
      <c r="AK148" s="370"/>
      <c r="AL148" s="388">
        <v>2</v>
      </c>
      <c r="AM148" s="403" t="str">
        <f>VLOOKUP(Table2[[#This Row],[Course Title]],'TSD-Data'!$A$1:$G$70,7,FALSE)</f>
        <v>N5</v>
      </c>
    </row>
    <row r="149" spans="1:39" s="380" customFormat="1" x14ac:dyDescent="0.25">
      <c r="A149" s="368"/>
      <c r="B149" s="432" t="s">
        <v>55</v>
      </c>
      <c r="C149" s="370" t="str">
        <f>VLOOKUP(Table2[[#This Row],[Course Title]],'TSD-Data'!$A$1:$E$70,2,FALSE)</f>
        <v>A-493-0103</v>
      </c>
      <c r="D149" s="370" t="str">
        <f>VLOOKUP(Table2[[#This Row],[Course Title]],'TSD-Data'!$A$1:$E$70,3,FALSE)</f>
        <v>12JY</v>
      </c>
      <c r="E149" s="369" t="s">
        <v>167</v>
      </c>
      <c r="F149" s="371">
        <v>46055</v>
      </c>
      <c r="G149" s="371">
        <v>46059</v>
      </c>
      <c r="H149" s="371" t="s">
        <v>752</v>
      </c>
      <c r="I149" s="372">
        <v>0.33333333333333331</v>
      </c>
      <c r="J149" s="372"/>
      <c r="K149" s="371"/>
      <c r="L149" s="371"/>
      <c r="M149" s="371"/>
      <c r="N149" s="371"/>
      <c r="O149" s="371"/>
      <c r="P149" s="375" t="s">
        <v>289</v>
      </c>
      <c r="Q149" s="375"/>
      <c r="R149" s="376"/>
      <c r="S149" s="370">
        <f>VLOOKUP(Table2[[#This Row],[Course Title]],'TSD-Data'!$A$1:$E$70,4,FALSE)</f>
        <v>25</v>
      </c>
      <c r="T149" s="377">
        <f>VLOOKUP(Table2[[#This Row],[Course Title]],'TSD-Data'!$A$1:$F$70,6,FALSE)</f>
        <v>40</v>
      </c>
      <c r="U149" s="378">
        <f>VLOOKUP(Table2[[#This Row],[Course Title]],'TSD-Data'!$A$1:$F$70,5,FALSE)</f>
        <v>5</v>
      </c>
      <c r="V149" s="379">
        <v>116</v>
      </c>
      <c r="W149" s="377"/>
      <c r="X149" s="377"/>
      <c r="Y149" s="378"/>
      <c r="Z149" s="378"/>
      <c r="AA149" s="370"/>
      <c r="AB149" s="370"/>
      <c r="AC149" s="370"/>
      <c r="AD149" s="370"/>
      <c r="AE149" s="378">
        <f ca="1">Table2[[#This Row],[End Date]]+2-TODAY()</f>
        <v>243</v>
      </c>
      <c r="AF149" s="370">
        <f>IF(ISBLANK(Table2[[#This Row],[Roster Received by]]),1,0)</f>
        <v>1</v>
      </c>
      <c r="AG149" s="377">
        <f ca="1">IF(Table2[[#This Row],[Start Date]]&gt;TODAY(),1,)</f>
        <v>1</v>
      </c>
      <c r="AH149" s="377">
        <f>IF(ISBLANK(Table2[[#This Row],[Primary Instructor]]),0,1)</f>
        <v>1</v>
      </c>
      <c r="AI149" s="377">
        <f>IF(ISBLANK(Table2[[#This Row],[Instructor 2]]),0,1)</f>
        <v>0</v>
      </c>
      <c r="AJ149" s="377">
        <f>Table2[[#This Row],[Course Length (Hours)]]/(SUM(Table2[[#This Row],[1]:[2]]))</f>
        <v>40</v>
      </c>
      <c r="AK149" s="370"/>
      <c r="AL149" s="388">
        <v>2</v>
      </c>
      <c r="AM149" s="403" t="str">
        <f>VLOOKUP(Table2[[#This Row],[Course Title]],'TSD-Data'!$A$1:$G$70,7,FALSE)</f>
        <v>N5</v>
      </c>
    </row>
    <row r="150" spans="1:39" s="380" customFormat="1" x14ac:dyDescent="0.25">
      <c r="A150" s="368"/>
      <c r="B150" s="432" t="s">
        <v>55</v>
      </c>
      <c r="C150" s="370" t="str">
        <f>VLOOKUP(Table2[[#This Row],[Course Title]],'TSD-Data'!$A$1:$E$70,2,FALSE)</f>
        <v>A-493-0103</v>
      </c>
      <c r="D150" s="370" t="str">
        <f>VLOOKUP(Table2[[#This Row],[Course Title]],'TSD-Data'!$A$1:$E$70,3,FALSE)</f>
        <v>12JY</v>
      </c>
      <c r="E150" s="369" t="s">
        <v>176</v>
      </c>
      <c r="F150" s="371">
        <v>46055</v>
      </c>
      <c r="G150" s="371">
        <v>46059</v>
      </c>
      <c r="H150" s="371" t="s">
        <v>752</v>
      </c>
      <c r="I150" s="372">
        <v>0.33333333333333331</v>
      </c>
      <c r="J150" s="372"/>
      <c r="K150" s="437"/>
      <c r="L150" s="371"/>
      <c r="M150" s="371"/>
      <c r="N150" s="371"/>
      <c r="O150" s="371"/>
      <c r="P150" s="375" t="s">
        <v>289</v>
      </c>
      <c r="Q150" s="375"/>
      <c r="R150" s="376"/>
      <c r="S150" s="370">
        <f>VLOOKUP(Table2[[#This Row],[Course Title]],'TSD-Data'!$A$1:$E$70,4,FALSE)</f>
        <v>25</v>
      </c>
      <c r="T150" s="377">
        <f>VLOOKUP(Table2[[#This Row],[Course Title]],'TSD-Data'!$A$1:$F$70,6,FALSE)</f>
        <v>40</v>
      </c>
      <c r="U150" s="378">
        <f>VLOOKUP(Table2[[#This Row],[Course Title]],'TSD-Data'!$A$1:$F$70,5,FALSE)</f>
        <v>5</v>
      </c>
      <c r="V150" s="379">
        <v>516</v>
      </c>
      <c r="W150" s="377"/>
      <c r="X150" s="377"/>
      <c r="Y150" s="378"/>
      <c r="Z150" s="378"/>
      <c r="AA150" s="370"/>
      <c r="AB150" s="370"/>
      <c r="AC150" s="370"/>
      <c r="AD150" s="370"/>
      <c r="AE150" s="378">
        <f ca="1">Table2[[#This Row],[End Date]]+2-TODAY()</f>
        <v>243</v>
      </c>
      <c r="AF150" s="370">
        <f>IF(ISBLANK(Table2[[#This Row],[Roster Received by]]),1,0)</f>
        <v>1</v>
      </c>
      <c r="AG150" s="377">
        <f ca="1">IF(Table2[[#This Row],[Start Date]]&gt;TODAY(),1,)</f>
        <v>1</v>
      </c>
      <c r="AH150" s="377">
        <f>IF(ISBLANK(Table2[[#This Row],[Primary Instructor]]),0,1)</f>
        <v>1</v>
      </c>
      <c r="AI150" s="377">
        <f>IF(ISBLANK(Table2[[#This Row],[Instructor 2]]),0,1)</f>
        <v>0</v>
      </c>
      <c r="AJ150" s="377">
        <f>Table2[[#This Row],[Course Length (Hours)]]/(SUM(Table2[[#This Row],[1]:[2]]))</f>
        <v>40</v>
      </c>
      <c r="AK150" s="370"/>
      <c r="AL150" s="388">
        <v>2</v>
      </c>
      <c r="AM150" s="403" t="str">
        <f>VLOOKUP(Table2[[#This Row],[Course Title]],'TSD-Data'!$A$1:$G$70,7,FALSE)</f>
        <v>N5</v>
      </c>
    </row>
    <row r="151" spans="1:39" s="380" customFormat="1" x14ac:dyDescent="0.25">
      <c r="A151" s="368"/>
      <c r="B151" s="369" t="s">
        <v>39</v>
      </c>
      <c r="C151" s="370" t="str">
        <f>VLOOKUP(Table2[[#This Row],[Course Title]],'TSD-Data'!$A$1:$E$70,2,FALSE)</f>
        <v>A-570-0100</v>
      </c>
      <c r="D151" s="370" t="str">
        <f>VLOOKUP(Table2[[#This Row],[Course Title]],'TSD-Data'!$A$1:$E$70,3,FALSE)</f>
        <v>18B7</v>
      </c>
      <c r="E151" s="369" t="s">
        <v>86</v>
      </c>
      <c r="F151" s="371">
        <v>46055</v>
      </c>
      <c r="G151" s="371">
        <v>46056</v>
      </c>
      <c r="H151" s="371" t="s">
        <v>752</v>
      </c>
      <c r="I151" s="372"/>
      <c r="J151" s="381">
        <v>0.5</v>
      </c>
      <c r="K151" s="381">
        <v>0.375</v>
      </c>
      <c r="L151" s="381">
        <v>0.83333333333333337</v>
      </c>
      <c r="M151" s="381">
        <v>0.75</v>
      </c>
      <c r="N151" s="381">
        <v>0.29166666666666669</v>
      </c>
      <c r="O151" s="381">
        <v>8.3333333333333329E-2</v>
      </c>
      <c r="P151" s="375" t="s">
        <v>252</v>
      </c>
      <c r="Q151" s="375"/>
      <c r="R151" s="376"/>
      <c r="S151" s="370">
        <f>VLOOKUP(Table2[[#This Row],[Course Title]],'TSD-Data'!$A$1:$E$70,4,FALSE)</f>
        <v>45</v>
      </c>
      <c r="T151" s="377">
        <f>VLOOKUP(Table2[[#This Row],[Course Title]],'TSD-Data'!$A$1:$F$70,6,FALSE)</f>
        <v>16</v>
      </c>
      <c r="U151" s="378">
        <f>VLOOKUP(Table2[[#This Row],[Course Title]],'TSD-Data'!$A$1:$F$70,5,FALSE)</f>
        <v>2</v>
      </c>
      <c r="V151" s="379">
        <v>663</v>
      </c>
      <c r="W151" s="377"/>
      <c r="X151" s="377"/>
      <c r="Y151" s="378"/>
      <c r="Z151" s="378"/>
      <c r="AA151" s="370"/>
      <c r="AB151" s="370"/>
      <c r="AC151" s="370"/>
      <c r="AD151" s="370"/>
      <c r="AE151" s="378">
        <f ca="1">Table2[[#This Row],[End Date]]+2-TODAY()</f>
        <v>240</v>
      </c>
      <c r="AF151" s="370">
        <f>IF(ISBLANK(Table2[[#This Row],[Roster Received by]]),1,0)</f>
        <v>1</v>
      </c>
      <c r="AG151" s="377">
        <f ca="1">IF(Table2[[#This Row],[Start Date]]&gt;TODAY(),1,)</f>
        <v>1</v>
      </c>
      <c r="AH151" s="377">
        <f>IF(ISBLANK(Table2[[#This Row],[Primary Instructor]]),0,1)</f>
        <v>1</v>
      </c>
      <c r="AI151" s="377">
        <f>IF(ISBLANK(Table2[[#This Row],[Instructor 2]]),0,1)</f>
        <v>0</v>
      </c>
      <c r="AJ151" s="377">
        <f>Table2[[#This Row],[Course Length (Hours)]]/(SUM(Table2[[#This Row],[1]:[2]]))</f>
        <v>16</v>
      </c>
      <c r="AK151" s="370"/>
      <c r="AL151" s="388">
        <v>2</v>
      </c>
      <c r="AM151" s="403" t="str">
        <f>VLOOKUP(Table2[[#This Row],[Course Title]],'TSD-Data'!$A$1:$G$70,7,FALSE)</f>
        <v>N5</v>
      </c>
    </row>
    <row r="152" spans="1:39" s="380" customFormat="1" x14ac:dyDescent="0.25">
      <c r="A152" s="368"/>
      <c r="B152" s="369" t="s">
        <v>53</v>
      </c>
      <c r="C152" s="370" t="str">
        <f>VLOOKUP(Table2[[#This Row],[Course Title]],'TSD-Data'!$A$1:$E$70,2,FALSE)</f>
        <v>A-493-0072</v>
      </c>
      <c r="D152" s="370" t="str">
        <f>VLOOKUP(Table2[[#This Row],[Course Title]],'TSD-Data'!$A$1:$E$70,3,FALSE)</f>
        <v>713U</v>
      </c>
      <c r="E152" s="369" t="s">
        <v>166</v>
      </c>
      <c r="F152" s="371">
        <v>46055</v>
      </c>
      <c r="G152" s="371">
        <v>46059</v>
      </c>
      <c r="H152" s="371" t="s">
        <v>752</v>
      </c>
      <c r="I152" s="372">
        <v>0.33333333333333331</v>
      </c>
      <c r="J152" s="372"/>
      <c r="K152" s="371"/>
      <c r="L152" s="371"/>
      <c r="M152" s="371"/>
      <c r="N152" s="371"/>
      <c r="O152" s="371"/>
      <c r="P152" s="375" t="s">
        <v>299</v>
      </c>
      <c r="Q152" s="375"/>
      <c r="R152" s="376"/>
      <c r="S152" s="370">
        <f>VLOOKUP(Table2[[#This Row],[Course Title]],'TSD-Data'!$A$1:$E$70,4,FALSE)</f>
        <v>30</v>
      </c>
      <c r="T152" s="377">
        <f>VLOOKUP(Table2[[#This Row],[Course Title]],'TSD-Data'!$A$1:$F$70,6,FALSE)</f>
        <v>40</v>
      </c>
      <c r="U152" s="378">
        <f>VLOOKUP(Table2[[#This Row],[Course Title]],'TSD-Data'!$A$1:$F$70,5,FALSE)</f>
        <v>5</v>
      </c>
      <c r="V152" s="379">
        <v>50</v>
      </c>
      <c r="W152" s="377"/>
      <c r="X152" s="377"/>
      <c r="Y152" s="378"/>
      <c r="Z152" s="378"/>
      <c r="AA152" s="370"/>
      <c r="AB152" s="370"/>
      <c r="AC152" s="370"/>
      <c r="AD152" s="370"/>
      <c r="AE152" s="378">
        <f ca="1">Table2[[#This Row],[End Date]]+2-TODAY()</f>
        <v>243</v>
      </c>
      <c r="AF152" s="370">
        <f>IF(ISBLANK(Table2[[#This Row],[Roster Received by]]),1,0)</f>
        <v>1</v>
      </c>
      <c r="AG152" s="377">
        <f ca="1">IF(Table2[[#This Row],[Start Date]]&gt;TODAY(),1,)</f>
        <v>1</v>
      </c>
      <c r="AH152" s="377">
        <f>IF(ISBLANK(Table2[[#This Row],[Primary Instructor]]),0,1)</f>
        <v>1</v>
      </c>
      <c r="AI152" s="377">
        <f>IF(ISBLANK(Table2[[#This Row],[Instructor 2]]),0,1)</f>
        <v>0</v>
      </c>
      <c r="AJ152" s="377">
        <f>Table2[[#This Row],[Course Length (Hours)]]/(SUM(Table2[[#This Row],[1]:[2]]))</f>
        <v>40</v>
      </c>
      <c r="AK152" s="370"/>
      <c r="AL152" s="388">
        <v>2</v>
      </c>
      <c r="AM152" s="403" t="str">
        <f>VLOOKUP(Table2[[#This Row],[Course Title]],'TSD-Data'!$A$1:$G$70,7,FALSE)</f>
        <v>N3</v>
      </c>
    </row>
    <row r="153" spans="1:39" s="380" customFormat="1" x14ac:dyDescent="0.25">
      <c r="A153" s="413"/>
      <c r="B153" s="369" t="s">
        <v>29</v>
      </c>
      <c r="C153" s="370" t="str">
        <f>VLOOKUP(Table2[[#This Row],[Course Title]],'TSD-Data'!$A$1:$E$70,2,FALSE)</f>
        <v>A-493-0077</v>
      </c>
      <c r="D153" s="370" t="str">
        <f>VLOOKUP(Table2[[#This Row],[Course Title]],'TSD-Data'!$A$1:$E$70,3,FALSE)</f>
        <v>0381</v>
      </c>
      <c r="E153" s="414" t="s">
        <v>414</v>
      </c>
      <c r="F153" s="416">
        <v>46056</v>
      </c>
      <c r="G153" s="416">
        <v>46058</v>
      </c>
      <c r="H153" s="371" t="s">
        <v>752</v>
      </c>
      <c r="I153" s="417">
        <v>0.33333333333333331</v>
      </c>
      <c r="J153" s="417"/>
      <c r="K153" s="416"/>
      <c r="L153" s="416"/>
      <c r="M153" s="416"/>
      <c r="N153" s="416"/>
      <c r="O153" s="416"/>
      <c r="P153" s="418" t="s">
        <v>241</v>
      </c>
      <c r="Q153" s="418"/>
      <c r="R153" s="376"/>
      <c r="S153" s="370">
        <f>VLOOKUP(Table2[[#This Row],[Course Title]],'TSD-Data'!$A$1:$E$70,4,FALSE)</f>
        <v>25</v>
      </c>
      <c r="T153" s="377">
        <f>VLOOKUP(Table2[[#This Row],[Course Title]],'TSD-Data'!$A$1:$F$70,6,FALSE)</f>
        <v>24</v>
      </c>
      <c r="U153" s="378">
        <f>VLOOKUP(Table2[[#This Row],[Course Title]],'TSD-Data'!$A$1:$F$70,5,FALSE)</f>
        <v>3</v>
      </c>
      <c r="V153" s="379">
        <v>52</v>
      </c>
      <c r="W153" s="377"/>
      <c r="X153" s="377"/>
      <c r="Y153" s="420"/>
      <c r="Z153" s="420"/>
      <c r="AA153" s="415"/>
      <c r="AB153" s="415"/>
      <c r="AC153" s="421"/>
      <c r="AD153" s="421"/>
      <c r="AE153" s="420">
        <v>253</v>
      </c>
      <c r="AF153" s="415">
        <v>1</v>
      </c>
      <c r="AG153" s="403">
        <v>1</v>
      </c>
      <c r="AH153" s="403">
        <v>1</v>
      </c>
      <c r="AI153" s="403">
        <v>0</v>
      </c>
      <c r="AJ153" s="403">
        <v>24</v>
      </c>
      <c r="AK153" s="415"/>
      <c r="AL153" s="388">
        <v>2</v>
      </c>
      <c r="AM153" s="403" t="str">
        <f>VLOOKUP(Table2[[#This Row],[Course Title]],'TSD-Data'!$A$1:$G$70,7,FALSE)</f>
        <v>N4</v>
      </c>
    </row>
    <row r="154" spans="1:39" s="380" customFormat="1" x14ac:dyDescent="0.25">
      <c r="A154" s="368"/>
      <c r="B154" s="435" t="s">
        <v>50</v>
      </c>
      <c r="C154" s="370" t="str">
        <f>VLOOKUP(Table2[[#This Row],[Course Title]],'TSD-Data'!$A$1:$E$70,2,FALSE)</f>
        <v>A-493-0331</v>
      </c>
      <c r="D154" s="370" t="str">
        <f>VLOOKUP(Table2[[#This Row],[Course Title]],'TSD-Data'!$A$1:$E$70,3,FALSE)</f>
        <v>10UG</v>
      </c>
      <c r="E154" s="369" t="s">
        <v>86</v>
      </c>
      <c r="F154" s="371">
        <v>46056</v>
      </c>
      <c r="G154" s="371">
        <v>46058</v>
      </c>
      <c r="H154" s="371" t="s">
        <v>752</v>
      </c>
      <c r="I154" s="372"/>
      <c r="J154" s="381">
        <v>0.5</v>
      </c>
      <c r="K154" s="381">
        <v>0.375</v>
      </c>
      <c r="L154" s="381">
        <v>0.83333333333333337</v>
      </c>
      <c r="M154" s="381">
        <v>0.75</v>
      </c>
      <c r="N154" s="381">
        <v>0.29166666666666669</v>
      </c>
      <c r="O154" s="381">
        <v>8.3333333333333329E-2</v>
      </c>
      <c r="P154" s="375" t="s">
        <v>238</v>
      </c>
      <c r="Q154" s="375"/>
      <c r="R154" s="376"/>
      <c r="S154" s="370">
        <f>VLOOKUP(Table2[[#This Row],[Course Title]],'TSD-Data'!$A$1:$E$70,4,FALSE)</f>
        <v>45</v>
      </c>
      <c r="T154" s="377">
        <f>VLOOKUP(Table2[[#This Row],[Course Title]],'TSD-Data'!$A$1:$F$70,6,FALSE)</f>
        <v>24</v>
      </c>
      <c r="U154" s="378">
        <f>VLOOKUP(Table2[[#This Row],[Course Title]],'TSD-Data'!$A$1:$F$70,5,FALSE)</f>
        <v>3</v>
      </c>
      <c r="V154" s="379">
        <v>844</v>
      </c>
      <c r="W154" s="377"/>
      <c r="X154" s="377"/>
      <c r="Y154" s="378"/>
      <c r="Z154" s="378"/>
      <c r="AA154" s="370"/>
      <c r="AB154" s="370"/>
      <c r="AC154" s="370"/>
      <c r="AD154" s="370"/>
      <c r="AE154" s="378">
        <f ca="1">Table2[[#This Row],[End Date]]+2-TODAY()</f>
        <v>242</v>
      </c>
      <c r="AF154" s="370">
        <f>IF(ISBLANK(Table2[[#This Row],[Roster Received by]]),1,0)</f>
        <v>1</v>
      </c>
      <c r="AG154" s="377">
        <f ca="1">IF(Table2[[#This Row],[Start Date]]&gt;TODAY(),1,)</f>
        <v>1</v>
      </c>
      <c r="AH154" s="377">
        <f>IF(ISBLANK(Table2[[#This Row],[Primary Instructor]]),0,1)</f>
        <v>1</v>
      </c>
      <c r="AI154" s="377">
        <f>IF(ISBLANK(Table2[[#This Row],[Instructor 2]]),0,1)</f>
        <v>0</v>
      </c>
      <c r="AJ154" s="377">
        <f>Table2[[#This Row],[Course Length (Hours)]]/(SUM(Table2[[#This Row],[1]:[2]]))</f>
        <v>24</v>
      </c>
      <c r="AK154" s="370"/>
      <c r="AL154" s="388">
        <v>2</v>
      </c>
      <c r="AM154" s="403" t="str">
        <f>VLOOKUP(Table2[[#This Row],[Course Title]],'TSD-Data'!$A$1:$G$70,7,FALSE)</f>
        <v>N3</v>
      </c>
    </row>
    <row r="155" spans="1:39" s="380" customFormat="1" x14ac:dyDescent="0.25">
      <c r="A155" s="368"/>
      <c r="B155" s="369" t="s">
        <v>57</v>
      </c>
      <c r="C155" s="370" t="str">
        <f>VLOOKUP(Table2[[#This Row],[Course Title]],'TSD-Data'!$A$1:$E$70,2,FALSE)</f>
        <v>A-493-0099</v>
      </c>
      <c r="D155" s="370" t="str">
        <f>VLOOKUP(Table2[[#This Row],[Course Title]],'TSD-Data'!$A$1:$E$70,3,FALSE)</f>
        <v>12JW</v>
      </c>
      <c r="E155" s="369" t="s">
        <v>86</v>
      </c>
      <c r="F155" s="371">
        <v>46057</v>
      </c>
      <c r="G155" s="371">
        <v>46059</v>
      </c>
      <c r="H155" s="371" t="s">
        <v>752</v>
      </c>
      <c r="I155" s="372"/>
      <c r="J155" s="372">
        <v>0.33333333333333331</v>
      </c>
      <c r="K155" s="372">
        <v>0.20833333333333334</v>
      </c>
      <c r="L155" s="388">
        <v>1600</v>
      </c>
      <c r="M155" s="388">
        <v>1400</v>
      </c>
      <c r="N155" s="372">
        <v>0.125</v>
      </c>
      <c r="O155" s="388">
        <v>2200</v>
      </c>
      <c r="P155" s="375" t="s">
        <v>277</v>
      </c>
      <c r="Q155" s="375"/>
      <c r="R155" s="376"/>
      <c r="S155" s="370">
        <f>VLOOKUP(Table2[[#This Row],[Course Title]],'TSD-Data'!$A$1:$E$70,4,FALSE)</f>
        <v>45</v>
      </c>
      <c r="T155" s="377">
        <f>VLOOKUP(Table2[[#This Row],[Course Title]],'TSD-Data'!$A$1:$F$70,6,FALSE)</f>
        <v>24</v>
      </c>
      <c r="U155" s="378">
        <f>VLOOKUP(Table2[[#This Row],[Course Title]],'TSD-Data'!$A$1:$F$70,5,FALSE)</f>
        <v>3</v>
      </c>
      <c r="V155" s="379">
        <v>406</v>
      </c>
      <c r="W155" s="377"/>
      <c r="X155" s="377"/>
      <c r="Y155" s="378"/>
      <c r="Z155" s="378"/>
      <c r="AA155" s="370"/>
      <c r="AB155" s="370"/>
      <c r="AC155" s="370"/>
      <c r="AD155" s="370"/>
      <c r="AE155" s="378">
        <f ca="1">Table2[[#This Row],[End Date]]+2-TODAY()</f>
        <v>243</v>
      </c>
      <c r="AF155" s="370">
        <f>IF(ISBLANK(Table2[[#This Row],[Roster Received by]]),1,0)</f>
        <v>1</v>
      </c>
      <c r="AG155" s="377">
        <f ca="1">IF(Table2[[#This Row],[Start Date]]&gt;TODAY(),1,)</f>
        <v>1</v>
      </c>
      <c r="AH155" s="377">
        <f>IF(ISBLANK(Table2[[#This Row],[Primary Instructor]]),0,1)</f>
        <v>1</v>
      </c>
      <c r="AI155" s="377">
        <f>IF(ISBLANK(Table2[[#This Row],[Instructor 2]]),0,1)</f>
        <v>0</v>
      </c>
      <c r="AJ155" s="377">
        <f>Table2[[#This Row],[Course Length (Hours)]]/(SUM(Table2[[#This Row],[1]:[2]]))</f>
        <v>24</v>
      </c>
      <c r="AK155" s="370"/>
      <c r="AL155" s="388">
        <v>2</v>
      </c>
      <c r="AM155" s="403" t="str">
        <f>VLOOKUP(Table2[[#This Row],[Course Title]],'TSD-Data'!$A$1:$G$70,7,FALSE)</f>
        <v>N5</v>
      </c>
    </row>
    <row r="156" spans="1:39" s="380" customFormat="1" x14ac:dyDescent="0.25">
      <c r="A156" s="413"/>
      <c r="B156" s="369" t="s">
        <v>31</v>
      </c>
      <c r="C156" s="370" t="str">
        <f>VLOOKUP(Table2[[#This Row],[Course Title]],'TSD-Data'!$A$1:$E$70,2,FALSE)</f>
        <v>A-493-0083</v>
      </c>
      <c r="D156" s="370" t="str">
        <f>VLOOKUP(Table2[[#This Row],[Course Title]],'TSD-Data'!$A$1:$E$70,3,FALSE)</f>
        <v>339E</v>
      </c>
      <c r="E156" s="414" t="s">
        <v>414</v>
      </c>
      <c r="F156" s="416">
        <v>46059</v>
      </c>
      <c r="G156" s="416">
        <v>46059</v>
      </c>
      <c r="H156" s="371" t="s">
        <v>752</v>
      </c>
      <c r="I156" s="417">
        <v>0.33333333333333331</v>
      </c>
      <c r="J156" s="417"/>
      <c r="K156" s="416"/>
      <c r="L156" s="416"/>
      <c r="M156" s="416"/>
      <c r="N156" s="416"/>
      <c r="O156" s="416"/>
      <c r="P156" s="418" t="s">
        <v>241</v>
      </c>
      <c r="Q156" s="418"/>
      <c r="R156" s="376"/>
      <c r="S156" s="370">
        <f>VLOOKUP(Table2[[#This Row],[Course Title]],'TSD-Data'!$A$1:$E$70,4,FALSE)</f>
        <v>30</v>
      </c>
      <c r="T156" s="377">
        <f>VLOOKUP(Table2[[#This Row],[Course Title]],'TSD-Data'!$A$1:$F$70,6,FALSE)</f>
        <v>8</v>
      </c>
      <c r="U156" s="378">
        <f>VLOOKUP(Table2[[#This Row],[Course Title]],'TSD-Data'!$A$1:$F$70,5,FALSE)</f>
        <v>1</v>
      </c>
      <c r="V156" s="379">
        <v>36</v>
      </c>
      <c r="W156" s="377"/>
      <c r="X156" s="377"/>
      <c r="Y156" s="420"/>
      <c r="Z156" s="420"/>
      <c r="AA156" s="415"/>
      <c r="AB156" s="415"/>
      <c r="AC156" s="421"/>
      <c r="AD156" s="421"/>
      <c r="AE156" s="420">
        <v>254</v>
      </c>
      <c r="AF156" s="415">
        <v>1</v>
      </c>
      <c r="AG156" s="403">
        <v>1</v>
      </c>
      <c r="AH156" s="403">
        <v>1</v>
      </c>
      <c r="AI156" s="403">
        <v>0</v>
      </c>
      <c r="AJ156" s="403">
        <v>8</v>
      </c>
      <c r="AK156" s="415"/>
      <c r="AL156" s="388">
        <v>2</v>
      </c>
      <c r="AM156" s="403" t="str">
        <f>VLOOKUP(Table2[[#This Row],[Course Title]],'TSD-Data'!$A$1:$G$70,7,FALSE)</f>
        <v>N4</v>
      </c>
    </row>
    <row r="157" spans="1:39" s="380" customFormat="1" x14ac:dyDescent="0.25">
      <c r="A157" s="368"/>
      <c r="B157" s="436" t="s">
        <v>46</v>
      </c>
      <c r="C157" s="370" t="str">
        <f>VLOOKUP(Table2[[#This Row],[Course Title]],'TSD-Data'!$A$1:$E$70,2,FALSE)</f>
        <v>A-493-0070</v>
      </c>
      <c r="D157" s="370" t="str">
        <f>VLOOKUP(Table2[[#This Row],[Course Title]],'TSD-Data'!$A$1:$E$70,3,FALSE)</f>
        <v>450V</v>
      </c>
      <c r="E157" s="369" t="s">
        <v>86</v>
      </c>
      <c r="F157" s="391">
        <v>46062</v>
      </c>
      <c r="G157" s="391">
        <v>46063</v>
      </c>
      <c r="H157" s="371" t="s">
        <v>752</v>
      </c>
      <c r="I157" s="372"/>
      <c r="J157" s="440">
        <v>0.79166666666666663</v>
      </c>
      <c r="K157" s="439">
        <v>0.66666666666666663</v>
      </c>
      <c r="L157" s="439">
        <v>0.125</v>
      </c>
      <c r="M157" s="439">
        <v>4.1666666666666664E-2</v>
      </c>
      <c r="N157" s="439">
        <v>0.58333333333333337</v>
      </c>
      <c r="O157" s="439">
        <v>0.375</v>
      </c>
      <c r="P157" s="375" t="s">
        <v>293</v>
      </c>
      <c r="Q157" s="375"/>
      <c r="R157" s="376"/>
      <c r="S157" s="370">
        <f>VLOOKUP(Table2[[#This Row],[Course Title]],'TSD-Data'!$A$1:$E$70,4,FALSE)</f>
        <v>30</v>
      </c>
      <c r="T157" s="377">
        <f>VLOOKUP(Table2[[#This Row],[Course Title]],'TSD-Data'!$A$1:$F$70,6,FALSE)</f>
        <v>8</v>
      </c>
      <c r="U157" s="378">
        <f>VLOOKUP(Table2[[#This Row],[Course Title]],'TSD-Data'!$A$1:$F$70,5,FALSE)</f>
        <v>1</v>
      </c>
      <c r="V157" s="379">
        <v>0</v>
      </c>
      <c r="W157" s="377"/>
      <c r="X157" s="377"/>
      <c r="Y157" s="378"/>
      <c r="Z157" s="378"/>
      <c r="AA157" s="370"/>
      <c r="AB157" s="370"/>
      <c r="AC157" s="370"/>
      <c r="AD157" s="370"/>
      <c r="AE157" s="378">
        <f ca="1">Table2[[#This Row],[End Date]]+2-TODAY()</f>
        <v>247</v>
      </c>
      <c r="AF157" s="370">
        <f>IF(ISBLANK(Table2[[#This Row],[Roster Received by]]),1,0)</f>
        <v>1</v>
      </c>
      <c r="AG157" s="377">
        <f ca="1">IF(Table2[[#This Row],[Start Date]]&gt;TODAY(),1,)</f>
        <v>1</v>
      </c>
      <c r="AH157" s="377">
        <f>IF(ISBLANK(Table2[[#This Row],[Primary Instructor]]),0,1)</f>
        <v>1</v>
      </c>
      <c r="AI157" s="377">
        <f>IF(ISBLANK(Table2[[#This Row],[Instructor 2]]),0,1)</f>
        <v>0</v>
      </c>
      <c r="AJ157" s="377">
        <f>Table2[[#This Row],[Course Length (Hours)]]/(SUM(Table2[[#This Row],[1]:[2]]))</f>
        <v>8</v>
      </c>
      <c r="AK157" s="370"/>
      <c r="AL157" s="388">
        <v>2</v>
      </c>
      <c r="AM157" s="403" t="str">
        <f>VLOOKUP(Table2[[#This Row],[Course Title]],'TSD-Data'!$A$1:$G$70,7,FALSE)</f>
        <v>N3</v>
      </c>
    </row>
    <row r="158" spans="1:39" s="380" customFormat="1" x14ac:dyDescent="0.25">
      <c r="A158" s="368"/>
      <c r="B158" s="432" t="s">
        <v>55</v>
      </c>
      <c r="C158" s="370" t="str">
        <f>VLOOKUP(Table2[[#This Row],[Course Title]],'TSD-Data'!$A$1:$E$70,2,FALSE)</f>
        <v>A-493-0103</v>
      </c>
      <c r="D158" s="370" t="str">
        <f>VLOOKUP(Table2[[#This Row],[Course Title]],'TSD-Data'!$A$1:$E$70,3,FALSE)</f>
        <v>12JY</v>
      </c>
      <c r="E158" s="369" t="s">
        <v>167</v>
      </c>
      <c r="F158" s="371">
        <v>46062</v>
      </c>
      <c r="G158" s="371">
        <v>46066</v>
      </c>
      <c r="H158" s="371" t="s">
        <v>752</v>
      </c>
      <c r="I158" s="372">
        <v>0.33333333333333331</v>
      </c>
      <c r="J158" s="372"/>
      <c r="K158" s="371"/>
      <c r="L158" s="371"/>
      <c r="M158" s="371"/>
      <c r="N158" s="371"/>
      <c r="O158" s="371"/>
      <c r="P158" s="375" t="s">
        <v>289</v>
      </c>
      <c r="Q158" s="375"/>
      <c r="R158" s="376"/>
      <c r="S158" s="370">
        <f>VLOOKUP(Table2[[#This Row],[Course Title]],'TSD-Data'!$A$1:$E$70,4,FALSE)</f>
        <v>25</v>
      </c>
      <c r="T158" s="377">
        <f>VLOOKUP(Table2[[#This Row],[Course Title]],'TSD-Data'!$A$1:$F$70,6,FALSE)</f>
        <v>40</v>
      </c>
      <c r="U158" s="378">
        <f>VLOOKUP(Table2[[#This Row],[Course Title]],'TSD-Data'!$A$1:$F$70,5,FALSE)</f>
        <v>5</v>
      </c>
      <c r="V158" s="379">
        <v>116</v>
      </c>
      <c r="W158" s="377"/>
      <c r="X158" s="377"/>
      <c r="Y158" s="378"/>
      <c r="Z158" s="378"/>
      <c r="AA158" s="370"/>
      <c r="AB158" s="370"/>
      <c r="AC158" s="370"/>
      <c r="AD158" s="370"/>
      <c r="AE158" s="378">
        <f ca="1">Table2[[#This Row],[End Date]]+2-TODAY()</f>
        <v>250</v>
      </c>
      <c r="AF158" s="370">
        <f>IF(ISBLANK(Table2[[#This Row],[Roster Received by]]),1,0)</f>
        <v>1</v>
      </c>
      <c r="AG158" s="377">
        <f ca="1">IF(Table2[[#This Row],[Start Date]]&gt;TODAY(),1,)</f>
        <v>1</v>
      </c>
      <c r="AH158" s="377">
        <f>IF(ISBLANK(Table2[[#This Row],[Primary Instructor]]),0,1)</f>
        <v>1</v>
      </c>
      <c r="AI158" s="377">
        <f>IF(ISBLANK(Table2[[#This Row],[Instructor 2]]),0,1)</f>
        <v>0</v>
      </c>
      <c r="AJ158" s="377">
        <f>Table2[[#This Row],[Course Length (Hours)]]/(SUM(Table2[[#This Row],[1]:[2]]))</f>
        <v>40</v>
      </c>
      <c r="AK158" s="370"/>
      <c r="AL158" s="388">
        <v>2</v>
      </c>
      <c r="AM158" s="403" t="str">
        <f>VLOOKUP(Table2[[#This Row],[Course Title]],'TSD-Data'!$A$1:$G$70,7,FALSE)</f>
        <v>N5</v>
      </c>
    </row>
    <row r="159" spans="1:39" s="380" customFormat="1" x14ac:dyDescent="0.25">
      <c r="A159" s="427" t="s">
        <v>708</v>
      </c>
      <c r="B159" s="401" t="s">
        <v>17</v>
      </c>
      <c r="C159" s="370" t="str">
        <f>VLOOKUP(Table2[[#This Row],[Course Title]],'TSD-Data'!$A$1:$E$70,2,FALSE)</f>
        <v>A-493-0012</v>
      </c>
      <c r="D159" s="370">
        <f>VLOOKUP(Table2[[#This Row],[Course Title]],'TSD-Data'!$A$1:$E$70,3,FALSE)</f>
        <v>3682</v>
      </c>
      <c r="E159" s="401" t="s">
        <v>284</v>
      </c>
      <c r="F159" s="426">
        <v>46062</v>
      </c>
      <c r="G159" s="426">
        <v>46066</v>
      </c>
      <c r="H159" s="371" t="s">
        <v>752</v>
      </c>
      <c r="I159" s="372">
        <v>0.33333333333333331</v>
      </c>
      <c r="J159" s="440"/>
      <c r="K159" s="371"/>
      <c r="L159" s="371"/>
      <c r="M159" s="371"/>
      <c r="N159" s="371"/>
      <c r="O159" s="371"/>
      <c r="P159" s="375" t="s">
        <v>241</v>
      </c>
      <c r="Q159" s="375"/>
      <c r="R159" s="376"/>
      <c r="S159" s="370">
        <f>VLOOKUP(Table2[[#This Row],[Course Title]],'TSD-Data'!$A$1:$E$70,4,FALSE)</f>
        <v>40</v>
      </c>
      <c r="T159" s="377">
        <f>VLOOKUP(Table2[[#This Row],[Course Title]],'TSD-Data'!$A$1:$F$70,6,FALSE)</f>
        <v>40</v>
      </c>
      <c r="U159" s="378">
        <f>VLOOKUP(Table2[[#This Row],[Course Title]],'TSD-Data'!$A$1:$F$70,5,FALSE)</f>
        <v>5</v>
      </c>
      <c r="V159" s="377">
        <v>52</v>
      </c>
      <c r="W159" s="377"/>
      <c r="X159" s="377"/>
      <c r="Y159" s="378"/>
      <c r="Z159" s="378"/>
      <c r="AA159" s="370"/>
      <c r="AB159" s="370"/>
      <c r="AC159" s="370"/>
      <c r="AD159" s="370"/>
      <c r="AE159" s="378" t="e">
        <v>#REF!</v>
      </c>
      <c r="AF159" s="370">
        <v>1</v>
      </c>
      <c r="AG159" s="377" t="e">
        <v>#REF!</v>
      </c>
      <c r="AH159" s="377">
        <v>1</v>
      </c>
      <c r="AI159" s="377">
        <v>0</v>
      </c>
      <c r="AJ159" s="377">
        <v>40</v>
      </c>
      <c r="AK159" s="370"/>
      <c r="AL159" s="388">
        <v>2</v>
      </c>
      <c r="AM159" s="403" t="str">
        <f>VLOOKUP(Table2[[#This Row],[Course Title]],'TSD-Data'!$A$1:$G$70,7,FALSE)</f>
        <v>N4</v>
      </c>
    </row>
    <row r="160" spans="1:39" s="380" customFormat="1" x14ac:dyDescent="0.25">
      <c r="A160" s="368"/>
      <c r="B160" s="369" t="s">
        <v>38</v>
      </c>
      <c r="C160" s="370" t="str">
        <f>VLOOKUP(Table2[[#This Row],[Course Title]],'TSD-Data'!$A$1:$E$70,2,FALSE)</f>
        <v>A-493-0061</v>
      </c>
      <c r="D160" s="370" t="str">
        <f>VLOOKUP(Table2[[#This Row],[Course Title]],'TSD-Data'!$A$1:$E$70,3,FALSE)</f>
        <v>288E</v>
      </c>
      <c r="E160" s="369" t="s">
        <v>86</v>
      </c>
      <c r="F160" s="371">
        <v>46062</v>
      </c>
      <c r="G160" s="371">
        <v>46065</v>
      </c>
      <c r="H160" s="371" t="s">
        <v>752</v>
      </c>
      <c r="I160" s="372"/>
      <c r="J160" s="372">
        <v>0.33333333333333331</v>
      </c>
      <c r="K160" s="372">
        <v>0.20833333333333334</v>
      </c>
      <c r="L160" s="388">
        <v>1600</v>
      </c>
      <c r="M160" s="388">
        <v>1400</v>
      </c>
      <c r="N160" s="372">
        <v>0.125</v>
      </c>
      <c r="O160" s="388">
        <v>2200</v>
      </c>
      <c r="P160" s="375" t="s">
        <v>274</v>
      </c>
      <c r="Q160" s="375"/>
      <c r="R160" s="376"/>
      <c r="S160" s="370">
        <f>VLOOKUP(Table2[[#This Row],[Course Title]],'TSD-Data'!$A$1:$E$70,4,FALSE)</f>
        <v>45</v>
      </c>
      <c r="T160" s="377">
        <f>VLOOKUP(Table2[[#This Row],[Course Title]],'TSD-Data'!$A$1:$F$70,6,FALSE)</f>
        <v>30</v>
      </c>
      <c r="U160" s="378">
        <f>VLOOKUP(Table2[[#This Row],[Course Title]],'TSD-Data'!$A$1:$F$70,5,FALSE)</f>
        <v>4</v>
      </c>
      <c r="V160" s="379">
        <v>366</v>
      </c>
      <c r="W160" s="377"/>
      <c r="X160" s="377"/>
      <c r="Y160" s="378"/>
      <c r="Z160" s="378"/>
      <c r="AA160" s="370"/>
      <c r="AB160" s="370"/>
      <c r="AC160" s="370"/>
      <c r="AD160" s="370"/>
      <c r="AE160" s="378">
        <f ca="1">Table2[[#This Row],[End Date]]+2-TODAY()</f>
        <v>249</v>
      </c>
      <c r="AF160" s="370">
        <f>IF(ISBLANK(Table2[[#This Row],[Roster Received by]]),1,0)</f>
        <v>1</v>
      </c>
      <c r="AG160" s="377">
        <f ca="1">IF(Table2[[#This Row],[Start Date]]&gt;TODAY(),1,)</f>
        <v>1</v>
      </c>
      <c r="AH160" s="377">
        <f>IF(ISBLANK(Table2[[#This Row],[Primary Instructor]]),0,1)</f>
        <v>1</v>
      </c>
      <c r="AI160" s="377">
        <f>IF(ISBLANK(Table2[[#This Row],[Instructor 2]]),0,1)</f>
        <v>0</v>
      </c>
      <c r="AJ160" s="377">
        <f>Table2[[#This Row],[Course Length (Hours)]]/(SUM(Table2[[#This Row],[1]:[2]]))</f>
        <v>30</v>
      </c>
      <c r="AK160" s="370"/>
      <c r="AL160" s="388">
        <v>2</v>
      </c>
      <c r="AM160" s="403" t="str">
        <f>VLOOKUP(Table2[[#This Row],[Course Title]],'TSD-Data'!$A$1:$G$70,7,FALSE)</f>
        <v>N5</v>
      </c>
    </row>
    <row r="161" spans="1:39" s="380" customFormat="1" x14ac:dyDescent="0.25">
      <c r="A161" s="368"/>
      <c r="B161" s="369" t="s">
        <v>120</v>
      </c>
      <c r="C161" s="370" t="str">
        <f>VLOOKUP(Table2[[#This Row],[Course Title]],'TSD-Data'!$A$1:$E$70,2,FALSE)</f>
        <v>A-322-2604</v>
      </c>
      <c r="D161" s="370" t="str">
        <f>VLOOKUP(Table2[[#This Row],[Course Title]],'TSD-Data'!$A$1:$E$70,3,FALSE)</f>
        <v>10ZZ</v>
      </c>
      <c r="E161" s="369" t="s">
        <v>86</v>
      </c>
      <c r="F161" s="371">
        <v>46062</v>
      </c>
      <c r="G161" s="371">
        <v>46064</v>
      </c>
      <c r="H161" s="371" t="s">
        <v>752</v>
      </c>
      <c r="I161" s="372"/>
      <c r="J161" s="381">
        <v>0.5</v>
      </c>
      <c r="K161" s="381">
        <v>0.375</v>
      </c>
      <c r="L161" s="381">
        <v>0.83333333333333337</v>
      </c>
      <c r="M161" s="381">
        <v>0.75</v>
      </c>
      <c r="N161" s="381">
        <v>0.29166666666666669</v>
      </c>
      <c r="O161" s="381">
        <v>8.3333333333333329E-2</v>
      </c>
      <c r="P161" s="375" t="s">
        <v>248</v>
      </c>
      <c r="Q161" s="375"/>
      <c r="R161" s="376"/>
      <c r="S161" s="370">
        <f>VLOOKUP(Table2[[#This Row],[Course Title]],'TSD-Data'!$A$1:$E$70,4,FALSE)</f>
        <v>45</v>
      </c>
      <c r="T161" s="377">
        <f>VLOOKUP(Table2[[#This Row],[Course Title]],'TSD-Data'!$A$1:$F$70,6,FALSE)</f>
        <v>24</v>
      </c>
      <c r="U161" s="378">
        <f>VLOOKUP(Table2[[#This Row],[Course Title]],'TSD-Data'!$A$1:$F$70,5,FALSE)</f>
        <v>3</v>
      </c>
      <c r="V161" s="379">
        <v>621</v>
      </c>
      <c r="W161" s="377"/>
      <c r="X161" s="377"/>
      <c r="Y161" s="378"/>
      <c r="Z161" s="378"/>
      <c r="AA161" s="370"/>
      <c r="AB161" s="370"/>
      <c r="AC161" s="370"/>
      <c r="AD161" s="370"/>
      <c r="AE161" s="378">
        <f ca="1">Table2[[#This Row],[End Date]]+2-TODAY()</f>
        <v>248</v>
      </c>
      <c r="AF161" s="370">
        <f>IF(ISBLANK(Table2[[#This Row],[Roster Received by]]),1,0)</f>
        <v>1</v>
      </c>
      <c r="AG161" s="377">
        <f ca="1">IF(Table2[[#This Row],[Start Date]]&gt;TODAY(),1,)</f>
        <v>1</v>
      </c>
      <c r="AH161" s="377">
        <f>IF(ISBLANK(Table2[[#This Row],[Primary Instructor]]),0,1)</f>
        <v>1</v>
      </c>
      <c r="AI161" s="377">
        <f>IF(ISBLANK(Table2[[#This Row],[Instructor 2]]),0,1)</f>
        <v>0</v>
      </c>
      <c r="AJ161" s="377">
        <f>Table2[[#This Row],[Course Length (Hours)]]/(SUM(Table2[[#This Row],[1]:[2]]))</f>
        <v>24</v>
      </c>
      <c r="AK161" s="370"/>
      <c r="AL161" s="388">
        <v>2</v>
      </c>
      <c r="AM161" s="403" t="str">
        <f>VLOOKUP(Table2[[#This Row],[Course Title]],'TSD-Data'!$A$1:$G$70,7,FALSE)</f>
        <v>N3</v>
      </c>
    </row>
    <row r="162" spans="1:39" s="380" customFormat="1" x14ac:dyDescent="0.25">
      <c r="A162" s="413"/>
      <c r="B162" s="369" t="s">
        <v>29</v>
      </c>
      <c r="C162" s="370" t="str">
        <f>VLOOKUP(Table2[[#This Row],[Course Title]],'TSD-Data'!$A$1:$E$70,2,FALSE)</f>
        <v>A-493-0077</v>
      </c>
      <c r="D162" s="370" t="str">
        <f>VLOOKUP(Table2[[#This Row],[Course Title]],'TSD-Data'!$A$1:$E$70,3,FALSE)</f>
        <v>0381</v>
      </c>
      <c r="E162" s="414" t="s">
        <v>174</v>
      </c>
      <c r="F162" s="416">
        <v>46062</v>
      </c>
      <c r="G162" s="416">
        <v>46064</v>
      </c>
      <c r="H162" s="371" t="s">
        <v>752</v>
      </c>
      <c r="I162" s="417">
        <v>0.33333333333333331</v>
      </c>
      <c r="J162" s="417"/>
      <c r="K162" s="416"/>
      <c r="L162" s="416"/>
      <c r="M162" s="416"/>
      <c r="N162" s="416"/>
      <c r="O162" s="416"/>
      <c r="P162" s="418" t="s">
        <v>241</v>
      </c>
      <c r="Q162" s="418"/>
      <c r="R162" s="376"/>
      <c r="S162" s="370">
        <f>VLOOKUP(Table2[[#This Row],[Course Title]],'TSD-Data'!$A$1:$E$70,4,FALSE)</f>
        <v>25</v>
      </c>
      <c r="T162" s="377">
        <f>VLOOKUP(Table2[[#This Row],[Course Title]],'TSD-Data'!$A$1:$F$70,6,FALSE)</f>
        <v>24</v>
      </c>
      <c r="U162" s="378">
        <f>VLOOKUP(Table2[[#This Row],[Course Title]],'TSD-Data'!$A$1:$F$70,5,FALSE)</f>
        <v>3</v>
      </c>
      <c r="V162" s="379">
        <v>60</v>
      </c>
      <c r="W162" s="377"/>
      <c r="X162" s="377"/>
      <c r="Y162" s="420"/>
      <c r="Z162" s="420"/>
      <c r="AA162" s="415"/>
      <c r="AB162" s="415"/>
      <c r="AC162" s="421"/>
      <c r="AD162" s="421"/>
      <c r="AE162" s="420">
        <v>259</v>
      </c>
      <c r="AF162" s="415">
        <v>1</v>
      </c>
      <c r="AG162" s="403">
        <v>1</v>
      </c>
      <c r="AH162" s="403">
        <v>1</v>
      </c>
      <c r="AI162" s="403">
        <v>0</v>
      </c>
      <c r="AJ162" s="403">
        <v>24</v>
      </c>
      <c r="AK162" s="415"/>
      <c r="AL162" s="388">
        <v>2</v>
      </c>
      <c r="AM162" s="403" t="str">
        <f>VLOOKUP(Table2[[#This Row],[Course Title]],'TSD-Data'!$A$1:$G$70,7,FALSE)</f>
        <v>N4</v>
      </c>
    </row>
    <row r="163" spans="1:39" s="380" customFormat="1" x14ac:dyDescent="0.25">
      <c r="A163" s="413"/>
      <c r="B163" s="369" t="s">
        <v>29</v>
      </c>
      <c r="C163" s="370" t="str">
        <f>VLOOKUP(Table2[[#This Row],[Course Title]],'TSD-Data'!$A$1:$E$70,2,FALSE)</f>
        <v>A-493-0077</v>
      </c>
      <c r="D163" s="370" t="str">
        <f>VLOOKUP(Table2[[#This Row],[Course Title]],'TSD-Data'!$A$1:$E$70,3,FALSE)</f>
        <v>0381</v>
      </c>
      <c r="E163" s="414" t="s">
        <v>275</v>
      </c>
      <c r="F163" s="416">
        <v>46062</v>
      </c>
      <c r="G163" s="416">
        <v>46064</v>
      </c>
      <c r="H163" s="371" t="s">
        <v>752</v>
      </c>
      <c r="I163" s="417">
        <v>0.33333333333333331</v>
      </c>
      <c r="J163" s="417"/>
      <c r="K163" s="416"/>
      <c r="L163" s="416"/>
      <c r="M163" s="416"/>
      <c r="N163" s="416"/>
      <c r="O163" s="416"/>
      <c r="P163" s="418" t="s">
        <v>241</v>
      </c>
      <c r="Q163" s="418"/>
      <c r="R163" s="376"/>
      <c r="S163" s="370">
        <f>VLOOKUP(Table2[[#This Row],[Course Title]],'TSD-Data'!$A$1:$E$70,4,FALSE)</f>
        <v>25</v>
      </c>
      <c r="T163" s="377">
        <f>VLOOKUP(Table2[[#This Row],[Course Title]],'TSD-Data'!$A$1:$F$70,6,FALSE)</f>
        <v>24</v>
      </c>
      <c r="U163" s="378">
        <f>VLOOKUP(Table2[[#This Row],[Course Title]],'TSD-Data'!$A$1:$F$70,5,FALSE)</f>
        <v>3</v>
      </c>
      <c r="V163" s="379">
        <v>25</v>
      </c>
      <c r="W163" s="377"/>
      <c r="X163" s="377"/>
      <c r="Y163" s="420"/>
      <c r="Z163" s="420"/>
      <c r="AA163" s="415"/>
      <c r="AB163" s="415"/>
      <c r="AC163" s="421"/>
      <c r="AD163" s="421"/>
      <c r="AE163" s="420">
        <v>259</v>
      </c>
      <c r="AF163" s="415">
        <v>1</v>
      </c>
      <c r="AG163" s="403">
        <v>1</v>
      </c>
      <c r="AH163" s="403">
        <v>1</v>
      </c>
      <c r="AI163" s="403">
        <v>0</v>
      </c>
      <c r="AJ163" s="403">
        <v>24</v>
      </c>
      <c r="AK163" s="415"/>
      <c r="AL163" s="388">
        <v>2</v>
      </c>
      <c r="AM163" s="403" t="str">
        <f>VLOOKUP(Table2[[#This Row],[Course Title]],'TSD-Data'!$A$1:$G$70,7,FALSE)</f>
        <v>N4</v>
      </c>
    </row>
    <row r="164" spans="1:39" s="380" customFormat="1" x14ac:dyDescent="0.25">
      <c r="A164" s="368"/>
      <c r="B164" s="369" t="s">
        <v>59</v>
      </c>
      <c r="C164" s="370" t="str">
        <f>VLOOKUP(Table2[[#This Row],[Course Title]],'TSD-Data'!$A$1:$E$70,2,FALSE)</f>
        <v>A-493-0550</v>
      </c>
      <c r="D164" s="370" t="str">
        <f>VLOOKUP(Table2[[#This Row],[Course Title]],'TSD-Data'!$A$1:$E$70,3,FALSE)</f>
        <v>09K5</v>
      </c>
      <c r="E164" s="369" t="s">
        <v>86</v>
      </c>
      <c r="F164" s="371">
        <v>46062</v>
      </c>
      <c r="G164" s="371">
        <v>46065</v>
      </c>
      <c r="H164" s="371" t="s">
        <v>752</v>
      </c>
      <c r="I164" s="372"/>
      <c r="J164" s="372">
        <v>0.79166666666666663</v>
      </c>
      <c r="K164" s="381">
        <v>0.66666666666666663</v>
      </c>
      <c r="L164" s="381">
        <v>0.125</v>
      </c>
      <c r="M164" s="381">
        <v>4.1666666666666664E-2</v>
      </c>
      <c r="N164" s="381">
        <v>0.58333333333333337</v>
      </c>
      <c r="O164" s="381">
        <v>0.375</v>
      </c>
      <c r="P164" s="375" t="s">
        <v>272</v>
      </c>
      <c r="Q164" s="375"/>
      <c r="R164" s="376"/>
      <c r="S164" s="370">
        <f>VLOOKUP(Table2[[#This Row],[Course Title]],'TSD-Data'!$A$1:$E$70,4,FALSE)</f>
        <v>45</v>
      </c>
      <c r="T164" s="377">
        <f>VLOOKUP(Table2[[#This Row],[Course Title]],'TSD-Data'!$A$1:$F$70,6,FALSE)</f>
        <v>32</v>
      </c>
      <c r="U164" s="378">
        <f>VLOOKUP(Table2[[#This Row],[Course Title]],'TSD-Data'!$A$1:$F$70,5,FALSE)</f>
        <v>4</v>
      </c>
      <c r="V164" s="379">
        <v>180</v>
      </c>
      <c r="W164" s="377"/>
      <c r="X164" s="377"/>
      <c r="Y164" s="378"/>
      <c r="Z164" s="378"/>
      <c r="AA164" s="370"/>
      <c r="AB164" s="370"/>
      <c r="AC164" s="370"/>
      <c r="AD164" s="370"/>
      <c r="AE164" s="378">
        <f ca="1">Table2[[#This Row],[End Date]]+2-TODAY()</f>
        <v>249</v>
      </c>
      <c r="AF164" s="370">
        <f>IF(ISBLANK(Table2[[#This Row],[Roster Received by]]),1,0)</f>
        <v>1</v>
      </c>
      <c r="AG164" s="377">
        <f ca="1">IF(Table2[[#This Row],[Start Date]]&gt;TODAY(),1,)</f>
        <v>1</v>
      </c>
      <c r="AH164" s="377">
        <f>IF(ISBLANK(Table2[[#This Row],[Primary Instructor]]),0,1)</f>
        <v>1</v>
      </c>
      <c r="AI164" s="377">
        <f>IF(ISBLANK(Table2[[#This Row],[Instructor 2]]),0,1)</f>
        <v>0</v>
      </c>
      <c r="AJ164" s="377">
        <f>Table2[[#This Row],[Course Length (Hours)]]/(SUM(Table2[[#This Row],[1]:[2]]))</f>
        <v>32</v>
      </c>
      <c r="AK164" s="370"/>
      <c r="AL164" s="388">
        <v>2</v>
      </c>
      <c r="AM164" s="403" t="str">
        <f>VLOOKUP(Table2[[#This Row],[Course Title]],'TSD-Data'!$A$1:$G$70,7,FALSE)</f>
        <v>N5</v>
      </c>
    </row>
    <row r="165" spans="1:39" s="380" customFormat="1" x14ac:dyDescent="0.25">
      <c r="A165" s="369"/>
      <c r="B165" s="436" t="s">
        <v>42</v>
      </c>
      <c r="C165" s="370" t="str">
        <f>VLOOKUP(Table2[[#This Row],[Course Title]],'TSD-Data'!$A$1:$E$70,2,FALSE)</f>
        <v>A-493-0015</v>
      </c>
      <c r="D165" s="370">
        <f>VLOOKUP(Table2[[#This Row],[Course Title]],'TSD-Data'!$A$1:$E$70,3,FALSE)</f>
        <v>3879</v>
      </c>
      <c r="E165" s="432" t="s">
        <v>86</v>
      </c>
      <c r="F165" s="391">
        <v>46064</v>
      </c>
      <c r="G165" s="391">
        <v>46064</v>
      </c>
      <c r="H165" s="371" t="s">
        <v>752</v>
      </c>
      <c r="I165" s="372"/>
      <c r="J165" s="372">
        <v>0.79166666666666663</v>
      </c>
      <c r="K165" s="381">
        <v>0.66666666666666663</v>
      </c>
      <c r="L165" s="381">
        <v>0.125</v>
      </c>
      <c r="M165" s="381">
        <v>4.1666666666666664E-2</v>
      </c>
      <c r="N165" s="381">
        <v>0.58333333333333337</v>
      </c>
      <c r="O165" s="381">
        <v>0.375</v>
      </c>
      <c r="P165" s="375" t="s">
        <v>293</v>
      </c>
      <c r="Q165" s="375"/>
      <c r="R165" s="375"/>
      <c r="S165" s="370">
        <f>VLOOKUP(Table2[[#This Row],[Course Title]],'TSD-Data'!$A$1:$E$70,4,FALSE)</f>
        <v>30</v>
      </c>
      <c r="T165" s="377">
        <f>VLOOKUP(Table2[[#This Row],[Course Title]],'TSD-Data'!$A$1:$F$70,6,FALSE)</f>
        <v>4</v>
      </c>
      <c r="U165" s="378">
        <f>VLOOKUP(Table2[[#This Row],[Course Title]],'TSD-Data'!$A$1:$F$70,5,FALSE)</f>
        <v>0.5</v>
      </c>
      <c r="V165" s="379">
        <v>0</v>
      </c>
      <c r="W165" s="377"/>
      <c r="X165" s="377"/>
      <c r="Y165" s="379"/>
      <c r="Z165" s="379"/>
      <c r="AA165" s="377"/>
      <c r="AB165" s="377"/>
      <c r="AC165" s="377"/>
      <c r="AD165" s="377"/>
      <c r="AE165" s="379">
        <f ca="1">Table2[[#This Row],[End Date]]+2-TODAY()</f>
        <v>248</v>
      </c>
      <c r="AF165" s="377">
        <f>IF(ISBLANK(Table2[[#This Row],[Roster Received by]]),1,0)</f>
        <v>1</v>
      </c>
      <c r="AG165" s="377">
        <f ca="1">IF(Table2[[#This Row],[Start Date]]&gt;TODAY(),1,)</f>
        <v>1</v>
      </c>
      <c r="AH165" s="377">
        <f>IF(ISBLANK(Table2[[#This Row],[Primary Instructor]]),0,1)</f>
        <v>1</v>
      </c>
      <c r="AI165" s="377">
        <f>IF(ISBLANK(Table2[[#This Row],[Instructor 2]]),0,1)</f>
        <v>0</v>
      </c>
      <c r="AJ165" s="377">
        <f>Table2[[#This Row],[Course Length (Hours)]]/(SUM(Table2[[#This Row],[1]:[2]]))</f>
        <v>4</v>
      </c>
      <c r="AK165" s="377"/>
      <c r="AL165" s="388">
        <v>2</v>
      </c>
      <c r="AM165" s="403" t="str">
        <f>VLOOKUP(Table2[[#This Row],[Course Title]],'TSD-Data'!$A$1:$G$70,7,FALSE)</f>
        <v>N3</v>
      </c>
    </row>
    <row r="166" spans="1:39" s="380" customFormat="1" x14ac:dyDescent="0.25">
      <c r="A166" s="368"/>
      <c r="B166" s="436" t="s">
        <v>44</v>
      </c>
      <c r="C166" s="370" t="str">
        <f>VLOOKUP(Table2[[#This Row],[Course Title]],'TSD-Data'!$A$1:$E$70,2,FALSE)</f>
        <v>A-493-0020</v>
      </c>
      <c r="D166" s="370">
        <f>VLOOKUP(Table2[[#This Row],[Course Title]],'TSD-Data'!$A$1:$E$70,3,FALSE)</f>
        <v>3888</v>
      </c>
      <c r="E166" s="369" t="s">
        <v>86</v>
      </c>
      <c r="F166" s="391">
        <v>46065</v>
      </c>
      <c r="G166" s="391">
        <v>46065</v>
      </c>
      <c r="H166" s="371" t="s">
        <v>752</v>
      </c>
      <c r="I166" s="372"/>
      <c r="J166" s="440">
        <v>0.79166666666666663</v>
      </c>
      <c r="K166" s="439">
        <v>0.66666666666666663</v>
      </c>
      <c r="L166" s="439">
        <v>0.125</v>
      </c>
      <c r="M166" s="439">
        <v>4.1666666666666664E-2</v>
      </c>
      <c r="N166" s="439">
        <v>0.58333333333333337</v>
      </c>
      <c r="O166" s="439">
        <v>0.375</v>
      </c>
      <c r="P166" s="375" t="s">
        <v>293</v>
      </c>
      <c r="Q166" s="375"/>
      <c r="R166" s="376"/>
      <c r="S166" s="370">
        <f>VLOOKUP(Table2[[#This Row],[Course Title]],'TSD-Data'!$A$1:$E$70,4,FALSE)</f>
        <v>30</v>
      </c>
      <c r="T166" s="377">
        <f>VLOOKUP(Table2[[#This Row],[Course Title]],'TSD-Data'!$A$1:$F$70,6,FALSE)</f>
        <v>4</v>
      </c>
      <c r="U166" s="378">
        <f>VLOOKUP(Table2[[#This Row],[Course Title]],'TSD-Data'!$A$1:$F$70,5,FALSE)</f>
        <v>0.5</v>
      </c>
      <c r="V166" s="379">
        <v>0</v>
      </c>
      <c r="W166" s="377"/>
      <c r="X166" s="377"/>
      <c r="Y166" s="378"/>
      <c r="Z166" s="378"/>
      <c r="AA166" s="370"/>
      <c r="AB166" s="370"/>
      <c r="AC166" s="370"/>
      <c r="AD166" s="370"/>
      <c r="AE166" s="378">
        <f ca="1">Table2[[#This Row],[End Date]]+2-TODAY()</f>
        <v>249</v>
      </c>
      <c r="AF166" s="370">
        <f>IF(ISBLANK(Table2[[#This Row],[Roster Received by]]),1,0)</f>
        <v>1</v>
      </c>
      <c r="AG166" s="377">
        <f ca="1">IF(Table2[[#This Row],[Start Date]]&gt;TODAY(),1,)</f>
        <v>1</v>
      </c>
      <c r="AH166" s="377">
        <f>IF(ISBLANK(Table2[[#This Row],[Primary Instructor]]),0,1)</f>
        <v>1</v>
      </c>
      <c r="AI166" s="377">
        <f>IF(ISBLANK(Table2[[#This Row],[Instructor 2]]),0,1)</f>
        <v>0</v>
      </c>
      <c r="AJ166" s="377">
        <f>Table2[[#This Row],[Course Length (Hours)]]/(SUM(Table2[[#This Row],[1]:[2]]))</f>
        <v>4</v>
      </c>
      <c r="AK166" s="370"/>
      <c r="AL166" s="388">
        <v>2</v>
      </c>
      <c r="AM166" s="403" t="str">
        <f>VLOOKUP(Table2[[#This Row],[Course Title]],'TSD-Data'!$A$1:$G$70,7,FALSE)</f>
        <v>N3</v>
      </c>
    </row>
    <row r="167" spans="1:39" s="380" customFormat="1" x14ac:dyDescent="0.25">
      <c r="A167" s="413"/>
      <c r="B167" s="369" t="s">
        <v>31</v>
      </c>
      <c r="C167" s="370" t="str">
        <f>VLOOKUP(Table2[[#This Row],[Course Title]],'TSD-Data'!$A$1:$E$70,2,FALSE)</f>
        <v>A-493-0083</v>
      </c>
      <c r="D167" s="370" t="str">
        <f>VLOOKUP(Table2[[#This Row],[Course Title]],'TSD-Data'!$A$1:$E$70,3,FALSE)</f>
        <v>339E</v>
      </c>
      <c r="E167" s="414" t="s">
        <v>174</v>
      </c>
      <c r="F167" s="416">
        <v>46065</v>
      </c>
      <c r="G167" s="416">
        <v>46065</v>
      </c>
      <c r="H167" s="371" t="s">
        <v>752</v>
      </c>
      <c r="I167" s="417">
        <v>0.33333333333333331</v>
      </c>
      <c r="J167" s="417"/>
      <c r="K167" s="416"/>
      <c r="L167" s="416"/>
      <c r="M167" s="416"/>
      <c r="N167" s="416"/>
      <c r="O167" s="416"/>
      <c r="P167" s="418" t="s">
        <v>241</v>
      </c>
      <c r="Q167" s="418"/>
      <c r="R167" s="376"/>
      <c r="S167" s="370">
        <f>VLOOKUP(Table2[[#This Row],[Course Title]],'TSD-Data'!$A$1:$E$70,4,FALSE)</f>
        <v>30</v>
      </c>
      <c r="T167" s="377">
        <f>VLOOKUP(Table2[[#This Row],[Course Title]],'TSD-Data'!$A$1:$F$70,6,FALSE)</f>
        <v>8</v>
      </c>
      <c r="U167" s="378">
        <f>VLOOKUP(Table2[[#This Row],[Course Title]],'TSD-Data'!$A$1:$F$70,5,FALSE)</f>
        <v>1</v>
      </c>
      <c r="V167" s="379">
        <v>59</v>
      </c>
      <c r="W167" s="377"/>
      <c r="X167" s="377"/>
      <c r="Y167" s="420"/>
      <c r="Z167" s="420"/>
      <c r="AA167" s="415"/>
      <c r="AB167" s="415"/>
      <c r="AC167" s="421"/>
      <c r="AD167" s="421"/>
      <c r="AE167" s="420">
        <v>260</v>
      </c>
      <c r="AF167" s="415">
        <v>1</v>
      </c>
      <c r="AG167" s="403">
        <v>1</v>
      </c>
      <c r="AH167" s="403">
        <v>1</v>
      </c>
      <c r="AI167" s="403">
        <v>0</v>
      </c>
      <c r="AJ167" s="403">
        <v>8</v>
      </c>
      <c r="AK167" s="415"/>
      <c r="AL167" s="388">
        <v>2</v>
      </c>
      <c r="AM167" s="403" t="str">
        <f>VLOOKUP(Table2[[#This Row],[Course Title]],'TSD-Data'!$A$1:$G$70,7,FALSE)</f>
        <v>N4</v>
      </c>
    </row>
    <row r="168" spans="1:39" s="380" customFormat="1" x14ac:dyDescent="0.25">
      <c r="A168" s="413" t="s">
        <v>284</v>
      </c>
      <c r="B168" s="414" t="s">
        <v>35</v>
      </c>
      <c r="C168" s="370" t="str">
        <f>VLOOKUP(Table2[[#This Row],[Course Title]],'TSD-Data'!$A$1:$E$70,2,FALSE)</f>
        <v>A-493-2501</v>
      </c>
      <c r="D168" s="370" t="str">
        <f>VLOOKUP(Table2[[#This Row],[Course Title]],'TSD-Data'!$A$1:$E$70,3,FALSE)</f>
        <v>05ZE</v>
      </c>
      <c r="E168" s="414" t="s">
        <v>284</v>
      </c>
      <c r="F168" s="416">
        <v>46066</v>
      </c>
      <c r="G168" s="416">
        <v>46066</v>
      </c>
      <c r="H168" s="371" t="s">
        <v>752</v>
      </c>
      <c r="I168" s="417">
        <v>0.33333333333333331</v>
      </c>
      <c r="J168" s="417"/>
      <c r="K168" s="416"/>
      <c r="L168" s="416"/>
      <c r="M168" s="416"/>
      <c r="N168" s="416"/>
      <c r="O168" s="416"/>
      <c r="P168" s="418" t="s">
        <v>241</v>
      </c>
      <c r="Q168" s="418"/>
      <c r="R168" s="376"/>
      <c r="S168" s="370">
        <f>VLOOKUP(Table2[[#This Row],[Course Title]],'TSD-Data'!$A$1:$E$70,4,FALSE)</f>
        <v>30</v>
      </c>
      <c r="T168" s="377">
        <f>VLOOKUP(Table2[[#This Row],[Course Title]],'TSD-Data'!$A$1:$F$70,6,FALSE)</f>
        <v>8</v>
      </c>
      <c r="U168" s="378">
        <f>VLOOKUP(Table2[[#This Row],[Course Title]],'TSD-Data'!$A$1:$F$70,5,FALSE)</f>
        <v>1</v>
      </c>
      <c r="V168" s="379">
        <v>51</v>
      </c>
      <c r="W168" s="377"/>
      <c r="X168" s="377"/>
      <c r="Y168" s="420"/>
      <c r="Z168" s="420"/>
      <c r="AA168" s="415"/>
      <c r="AB168" s="415"/>
      <c r="AC168" s="421"/>
      <c r="AD168" s="421"/>
      <c r="AE168" s="420">
        <v>261</v>
      </c>
      <c r="AF168" s="415">
        <v>1</v>
      </c>
      <c r="AG168" s="403">
        <v>1</v>
      </c>
      <c r="AH168" s="403">
        <v>1</v>
      </c>
      <c r="AI168" s="403">
        <v>0</v>
      </c>
      <c r="AJ168" s="403">
        <v>8</v>
      </c>
      <c r="AK168" s="415"/>
      <c r="AL168" s="388">
        <v>2</v>
      </c>
      <c r="AM168" s="403" t="str">
        <f>VLOOKUP(Table2[[#This Row],[Course Title]],'TSD-Data'!$A$1:$G$70,7,FALSE)</f>
        <v>N4</v>
      </c>
    </row>
    <row r="169" spans="1:39" s="380" customFormat="1" x14ac:dyDescent="0.25">
      <c r="A169" s="369" t="s">
        <v>483</v>
      </c>
      <c r="B169" s="369" t="s">
        <v>181</v>
      </c>
      <c r="C169" s="370" t="str">
        <f>VLOOKUP(Table2[[#This Row],[Course Title]],'TSD-Data'!$A$1:$E$70,2,FALSE)</f>
        <v>Holiday</v>
      </c>
      <c r="D169" s="370" t="str">
        <f>VLOOKUP(Table2[[#This Row],[Course Title]],'TSD-Data'!$A$1:$E$70,3,FALSE)</f>
        <v>Holiday</v>
      </c>
      <c r="E169" s="369" t="s">
        <v>181</v>
      </c>
      <c r="F169" s="371">
        <v>46069</v>
      </c>
      <c r="G169" s="371">
        <v>46069</v>
      </c>
      <c r="H169" s="371" t="s">
        <v>788</v>
      </c>
      <c r="I169" s="372"/>
      <c r="J169" s="372"/>
      <c r="K169" s="371"/>
      <c r="L169" s="371"/>
      <c r="M169" s="371"/>
      <c r="N169" s="371"/>
      <c r="O169" s="371"/>
      <c r="P169" s="386" t="s">
        <v>322</v>
      </c>
      <c r="Q169" s="375"/>
      <c r="R169" s="398"/>
      <c r="S169" s="370">
        <f>VLOOKUP(Table2[[#This Row],[Course Title]],'TSD-Data'!$A$1:$E$70,4,FALSE)</f>
        <v>0</v>
      </c>
      <c r="T169" s="377">
        <f>VLOOKUP(Table2[[#This Row],[Course Title]],'TSD-Data'!$A$1:$F$70,6,FALSE)</f>
        <v>0</v>
      </c>
      <c r="U169" s="378">
        <f>VLOOKUP(Table2[[#This Row],[Course Title]],'TSD-Data'!$A$1:$F$70,5,FALSE)</f>
        <v>0</v>
      </c>
      <c r="V169" s="379">
        <v>0</v>
      </c>
      <c r="W169" s="377">
        <v>0</v>
      </c>
      <c r="X169" s="377">
        <v>0</v>
      </c>
      <c r="Y169" s="377">
        <v>0</v>
      </c>
      <c r="Z169" s="377">
        <v>0</v>
      </c>
      <c r="AA169" s="377">
        <v>0</v>
      </c>
      <c r="AB169" s="377">
        <v>0</v>
      </c>
      <c r="AC169" s="377">
        <v>0</v>
      </c>
      <c r="AD169" s="377" t="s">
        <v>247</v>
      </c>
      <c r="AE169" s="379">
        <f ca="1">Table2[[#This Row],[End Date]]+2-TODAY()</f>
        <v>253</v>
      </c>
      <c r="AF169" s="377">
        <f>IF(ISBLANK(Table2[[#This Row],[Roster Received by]]),1,0)</f>
        <v>0</v>
      </c>
      <c r="AG169" s="377">
        <f ca="1">IF(Table2[[#This Row],[Start Date]]&gt;TODAY(),1,)</f>
        <v>1</v>
      </c>
      <c r="AH169" s="377">
        <f>IF(ISBLANK(Table2[[#This Row],[Primary Instructor]]),0,1)</f>
        <v>1</v>
      </c>
      <c r="AI169" s="377">
        <f>IF(ISBLANK(Table2[[#This Row],[Instructor 2]]),0,1)</f>
        <v>0</v>
      </c>
      <c r="AJ169" s="377">
        <f>Table2[[#This Row],[Course Length (Hours)]]/(SUM(Table2[[#This Row],[1]:[2]]))</f>
        <v>0</v>
      </c>
      <c r="AK169" s="377"/>
      <c r="AL169" s="388">
        <v>2</v>
      </c>
      <c r="AM169" s="403" t="str">
        <f>VLOOKUP(Table2[[#This Row],[Course Title]],'TSD-Data'!$A$1:$G$70,7,FALSE)</f>
        <v>TSD</v>
      </c>
    </row>
    <row r="170" spans="1:39" s="380" customFormat="1" x14ac:dyDescent="0.25">
      <c r="A170" s="414" t="s">
        <v>730</v>
      </c>
      <c r="B170" s="414" t="s">
        <v>28</v>
      </c>
      <c r="C170" s="370" t="str">
        <f>VLOOKUP(Table2[[#This Row],[Course Title]],'TSD-Data'!$A$1:$E$70,2,FALSE)</f>
        <v>A-493-0013</v>
      </c>
      <c r="D170" s="370">
        <f>VLOOKUP(Table2[[#This Row],[Course Title]],'TSD-Data'!$A$1:$E$70,3,FALSE)</f>
        <v>3683</v>
      </c>
      <c r="E170" s="414" t="s">
        <v>242</v>
      </c>
      <c r="F170" s="416">
        <v>46070</v>
      </c>
      <c r="G170" s="416">
        <v>46072</v>
      </c>
      <c r="H170" s="371" t="s">
        <v>752</v>
      </c>
      <c r="I170" s="417">
        <v>0.33333333333333331</v>
      </c>
      <c r="J170" s="417"/>
      <c r="K170" s="416"/>
      <c r="L170" s="416"/>
      <c r="M170" s="416"/>
      <c r="N170" s="416"/>
      <c r="O170" s="416"/>
      <c r="P170" s="418" t="s">
        <v>241</v>
      </c>
      <c r="Q170" s="418"/>
      <c r="R170" s="375"/>
      <c r="S170" s="370">
        <f>VLOOKUP(Table2[[#This Row],[Course Title]],'TSD-Data'!$A$1:$E$70,4,FALSE)</f>
        <v>40</v>
      </c>
      <c r="T170" s="377">
        <f>VLOOKUP(Table2[[#This Row],[Course Title]],'TSD-Data'!$A$1:$F$70,6,FALSE)</f>
        <v>24</v>
      </c>
      <c r="U170" s="378">
        <f>VLOOKUP(Table2[[#This Row],[Course Title]],'TSD-Data'!$A$1:$F$70,5,FALSE)</f>
        <v>3</v>
      </c>
      <c r="V170" s="379">
        <v>10</v>
      </c>
      <c r="W170" s="377"/>
      <c r="X170" s="377"/>
      <c r="Y170" s="422"/>
      <c r="Z170" s="422"/>
      <c r="AA170" s="419"/>
      <c r="AB170" s="419"/>
      <c r="AC170" s="423"/>
      <c r="AD170" s="423"/>
      <c r="AE170" s="422">
        <v>267</v>
      </c>
      <c r="AF170" s="419">
        <v>1</v>
      </c>
      <c r="AG170" s="403">
        <v>1</v>
      </c>
      <c r="AH170" s="403">
        <v>1</v>
      </c>
      <c r="AI170" s="403">
        <v>0</v>
      </c>
      <c r="AJ170" s="403">
        <v>24</v>
      </c>
      <c r="AK170" s="419"/>
      <c r="AL170" s="388">
        <v>2</v>
      </c>
      <c r="AM170" s="403" t="str">
        <f>VLOOKUP(Table2[[#This Row],[Course Title]],'TSD-Data'!$A$1:$G$70,7,FALSE)</f>
        <v>N4</v>
      </c>
    </row>
    <row r="171" spans="1:39" s="380" customFormat="1" x14ac:dyDescent="0.25">
      <c r="A171" s="368"/>
      <c r="B171" s="435" t="s">
        <v>50</v>
      </c>
      <c r="C171" s="370" t="str">
        <f>VLOOKUP(Table2[[#This Row],[Course Title]],'TSD-Data'!$A$1:$E$70,2,FALSE)</f>
        <v>A-493-0331</v>
      </c>
      <c r="D171" s="370" t="str">
        <f>VLOOKUP(Table2[[#This Row],[Course Title]],'TSD-Data'!$A$1:$E$70,3,FALSE)</f>
        <v>10UG</v>
      </c>
      <c r="E171" s="369" t="s">
        <v>86</v>
      </c>
      <c r="F171" s="371">
        <v>46070</v>
      </c>
      <c r="G171" s="371">
        <v>46072</v>
      </c>
      <c r="H171" s="371" t="s">
        <v>752</v>
      </c>
      <c r="I171" s="372"/>
      <c r="J171" s="381">
        <v>0.5</v>
      </c>
      <c r="K171" s="381">
        <v>0.375</v>
      </c>
      <c r="L171" s="381">
        <v>0.83333333333333337</v>
      </c>
      <c r="M171" s="381">
        <v>0.75</v>
      </c>
      <c r="N171" s="381">
        <v>0.29166666666666669</v>
      </c>
      <c r="O171" s="381">
        <v>8.3333333333333329E-2</v>
      </c>
      <c r="P171" s="375" t="s">
        <v>233</v>
      </c>
      <c r="Q171" s="375"/>
      <c r="R171" s="376"/>
      <c r="S171" s="370">
        <f>VLOOKUP(Table2[[#This Row],[Course Title]],'TSD-Data'!$A$1:$E$70,4,FALSE)</f>
        <v>45</v>
      </c>
      <c r="T171" s="377">
        <f>VLOOKUP(Table2[[#This Row],[Course Title]],'TSD-Data'!$A$1:$F$70,6,FALSE)</f>
        <v>24</v>
      </c>
      <c r="U171" s="378">
        <f>VLOOKUP(Table2[[#This Row],[Course Title]],'TSD-Data'!$A$1:$F$70,5,FALSE)</f>
        <v>3</v>
      </c>
      <c r="V171" s="379">
        <v>844</v>
      </c>
      <c r="W171" s="377"/>
      <c r="X171" s="377"/>
      <c r="Y171" s="378"/>
      <c r="Z171" s="378"/>
      <c r="AA171" s="370"/>
      <c r="AB171" s="370"/>
      <c r="AC171" s="370"/>
      <c r="AD171" s="370"/>
      <c r="AE171" s="378">
        <f ca="1">Table2[[#This Row],[End Date]]+2-TODAY()</f>
        <v>256</v>
      </c>
      <c r="AF171" s="370">
        <f>IF(ISBLANK(Table2[[#This Row],[Roster Received by]]),1,0)</f>
        <v>1</v>
      </c>
      <c r="AG171" s="377">
        <f ca="1">IF(Table2[[#This Row],[Start Date]]&gt;TODAY(),1,)</f>
        <v>1</v>
      </c>
      <c r="AH171" s="377">
        <f>IF(ISBLANK(Table2[[#This Row],[Primary Instructor]]),0,1)</f>
        <v>1</v>
      </c>
      <c r="AI171" s="377">
        <f>IF(ISBLANK(Table2[[#This Row],[Instructor 2]]),0,1)</f>
        <v>0</v>
      </c>
      <c r="AJ171" s="377">
        <f>Table2[[#This Row],[Course Length (Hours)]]/(SUM(Table2[[#This Row],[1]:[2]]))</f>
        <v>24</v>
      </c>
      <c r="AK171" s="370"/>
      <c r="AL171" s="388">
        <v>2</v>
      </c>
      <c r="AM171" s="403" t="str">
        <f>VLOOKUP(Table2[[#This Row],[Course Title]],'TSD-Data'!$A$1:$G$70,7,FALSE)</f>
        <v>N3</v>
      </c>
    </row>
    <row r="172" spans="1:39" s="380" customFormat="1" x14ac:dyDescent="0.25">
      <c r="A172" s="368"/>
      <c r="B172" s="369" t="s">
        <v>57</v>
      </c>
      <c r="C172" s="370" t="str">
        <f>VLOOKUP(Table2[[#This Row],[Course Title]],'TSD-Data'!$A$1:$E$70,2,FALSE)</f>
        <v>A-493-0099</v>
      </c>
      <c r="D172" s="370" t="str">
        <f>VLOOKUP(Table2[[#This Row],[Course Title]],'TSD-Data'!$A$1:$E$70,3,FALSE)</f>
        <v>12JW</v>
      </c>
      <c r="E172" s="369" t="s">
        <v>86</v>
      </c>
      <c r="F172" s="371">
        <v>46071</v>
      </c>
      <c r="G172" s="371">
        <v>46073</v>
      </c>
      <c r="H172" s="371" t="s">
        <v>752</v>
      </c>
      <c r="I172" s="372"/>
      <c r="J172" s="372">
        <v>0.33333333333333331</v>
      </c>
      <c r="K172" s="372">
        <v>0.20833333333333334</v>
      </c>
      <c r="L172" s="388">
        <v>1600</v>
      </c>
      <c r="M172" s="388">
        <v>1400</v>
      </c>
      <c r="N172" s="372">
        <v>0.125</v>
      </c>
      <c r="O172" s="388">
        <v>2200</v>
      </c>
      <c r="P172" s="375" t="s">
        <v>277</v>
      </c>
      <c r="Q172" s="375"/>
      <c r="R172" s="376"/>
      <c r="S172" s="370">
        <f>VLOOKUP(Table2[[#This Row],[Course Title]],'TSD-Data'!$A$1:$E$70,4,FALSE)</f>
        <v>45</v>
      </c>
      <c r="T172" s="377">
        <f>VLOOKUP(Table2[[#This Row],[Course Title]],'TSD-Data'!$A$1:$F$70,6,FALSE)</f>
        <v>24</v>
      </c>
      <c r="U172" s="378">
        <f>VLOOKUP(Table2[[#This Row],[Course Title]],'TSD-Data'!$A$1:$F$70,5,FALSE)</f>
        <v>3</v>
      </c>
      <c r="V172" s="379">
        <v>334</v>
      </c>
      <c r="W172" s="377"/>
      <c r="X172" s="377"/>
      <c r="Y172" s="378"/>
      <c r="Z172" s="378"/>
      <c r="AA172" s="370"/>
      <c r="AB172" s="370"/>
      <c r="AC172" s="370"/>
      <c r="AD172" s="370"/>
      <c r="AE172" s="378">
        <f ca="1">Table2[[#This Row],[End Date]]+2-TODAY()</f>
        <v>257</v>
      </c>
      <c r="AF172" s="370">
        <f>IF(ISBLANK(Table2[[#This Row],[Roster Received by]]),1,0)</f>
        <v>1</v>
      </c>
      <c r="AG172" s="377">
        <f ca="1">IF(Table2[[#This Row],[Start Date]]&gt;TODAY(),1,)</f>
        <v>1</v>
      </c>
      <c r="AH172" s="377">
        <f>IF(ISBLANK(Table2[[#This Row],[Primary Instructor]]),0,1)</f>
        <v>1</v>
      </c>
      <c r="AI172" s="377">
        <f>IF(ISBLANK(Table2[[#This Row],[Instructor 2]]),0,1)</f>
        <v>0</v>
      </c>
      <c r="AJ172" s="377">
        <f>Table2[[#This Row],[Course Length (Hours)]]/(SUM(Table2[[#This Row],[1]:[2]]))</f>
        <v>24</v>
      </c>
      <c r="AK172" s="370"/>
      <c r="AL172" s="388">
        <v>2</v>
      </c>
      <c r="AM172" s="403" t="str">
        <f>VLOOKUP(Table2[[#This Row],[Course Title]],'TSD-Data'!$A$1:$G$70,7,FALSE)</f>
        <v>N5</v>
      </c>
    </row>
    <row r="173" spans="1:39" s="380" customFormat="1" x14ac:dyDescent="0.25">
      <c r="A173" s="413"/>
      <c r="B173" s="369" t="s">
        <v>29</v>
      </c>
      <c r="C173" s="370" t="str">
        <f>VLOOKUP(Table2[[#This Row],[Course Title]],'TSD-Data'!$A$1:$E$70,2,FALSE)</f>
        <v>A-493-0077</v>
      </c>
      <c r="D173" s="370" t="str">
        <f>VLOOKUP(Table2[[#This Row],[Course Title]],'TSD-Data'!$A$1:$E$70,3,FALSE)</f>
        <v>0381</v>
      </c>
      <c r="E173" s="414" t="s">
        <v>250</v>
      </c>
      <c r="F173" s="416">
        <v>46071</v>
      </c>
      <c r="G173" s="416">
        <v>46073</v>
      </c>
      <c r="H173" s="371" t="s">
        <v>752</v>
      </c>
      <c r="I173" s="417">
        <v>0.33333333333333331</v>
      </c>
      <c r="J173" s="417"/>
      <c r="K173" s="416"/>
      <c r="L173" s="416"/>
      <c r="M173" s="416"/>
      <c r="N173" s="416"/>
      <c r="O173" s="416"/>
      <c r="P173" s="418" t="s">
        <v>241</v>
      </c>
      <c r="Q173" s="418"/>
      <c r="R173" s="376"/>
      <c r="S173" s="370">
        <f>VLOOKUP(Table2[[#This Row],[Course Title]],'TSD-Data'!$A$1:$E$70,4,FALSE)</f>
        <v>25</v>
      </c>
      <c r="T173" s="377">
        <f>VLOOKUP(Table2[[#This Row],[Course Title]],'TSD-Data'!$A$1:$F$70,6,FALSE)</f>
        <v>24</v>
      </c>
      <c r="U173" s="378">
        <f>VLOOKUP(Table2[[#This Row],[Course Title]],'TSD-Data'!$A$1:$F$70,5,FALSE)</f>
        <v>3</v>
      </c>
      <c r="V173" s="379">
        <v>31</v>
      </c>
      <c r="W173" s="377"/>
      <c r="X173" s="377"/>
      <c r="Y173" s="420"/>
      <c r="Z173" s="420"/>
      <c r="AA173" s="415"/>
      <c r="AB173" s="415"/>
      <c r="AC173" s="421"/>
      <c r="AD173" s="421"/>
      <c r="AE173" s="420">
        <v>268</v>
      </c>
      <c r="AF173" s="415">
        <v>1</v>
      </c>
      <c r="AG173" s="403">
        <v>1</v>
      </c>
      <c r="AH173" s="403">
        <v>1</v>
      </c>
      <c r="AI173" s="403">
        <v>0</v>
      </c>
      <c r="AJ173" s="403">
        <v>24</v>
      </c>
      <c r="AK173" s="415"/>
      <c r="AL173" s="388">
        <v>2</v>
      </c>
      <c r="AM173" s="403" t="str">
        <f>VLOOKUP(Table2[[#This Row],[Course Title]],'TSD-Data'!$A$1:$G$70,7,FALSE)</f>
        <v>N4</v>
      </c>
    </row>
    <row r="174" spans="1:39" s="380" customFormat="1" x14ac:dyDescent="0.25">
      <c r="A174" s="413"/>
      <c r="B174" s="369" t="s">
        <v>29</v>
      </c>
      <c r="C174" s="370" t="str">
        <f>VLOOKUP(Table2[[#This Row],[Course Title]],'TSD-Data'!$A$1:$E$70,2,FALSE)</f>
        <v>A-493-0077</v>
      </c>
      <c r="D174" s="370" t="str">
        <f>VLOOKUP(Table2[[#This Row],[Course Title]],'TSD-Data'!$A$1:$E$70,3,FALSE)</f>
        <v>0381</v>
      </c>
      <c r="E174" s="414" t="s">
        <v>172</v>
      </c>
      <c r="F174" s="416">
        <v>46071</v>
      </c>
      <c r="G174" s="416">
        <v>46073</v>
      </c>
      <c r="H174" s="371" t="s">
        <v>752</v>
      </c>
      <c r="I174" s="417">
        <v>0.33333333333333331</v>
      </c>
      <c r="J174" s="417"/>
      <c r="K174" s="416"/>
      <c r="L174" s="416"/>
      <c r="M174" s="416"/>
      <c r="N174" s="416"/>
      <c r="O174" s="416"/>
      <c r="P174" s="418" t="s">
        <v>241</v>
      </c>
      <c r="Q174" s="418"/>
      <c r="R174" s="376"/>
      <c r="S174" s="370">
        <f>VLOOKUP(Table2[[#This Row],[Course Title]],'TSD-Data'!$A$1:$E$70,4,FALSE)</f>
        <v>25</v>
      </c>
      <c r="T174" s="377">
        <f>VLOOKUP(Table2[[#This Row],[Course Title]],'TSD-Data'!$A$1:$F$70,6,FALSE)</f>
        <v>24</v>
      </c>
      <c r="U174" s="378">
        <f>VLOOKUP(Table2[[#This Row],[Course Title]],'TSD-Data'!$A$1:$F$70,5,FALSE)</f>
        <v>3</v>
      </c>
      <c r="V174" s="379">
        <v>34</v>
      </c>
      <c r="W174" s="377"/>
      <c r="X174" s="377"/>
      <c r="Y174" s="420"/>
      <c r="Z174" s="420"/>
      <c r="AA174" s="415"/>
      <c r="AB174" s="415"/>
      <c r="AC174" s="421"/>
      <c r="AD174" s="421"/>
      <c r="AE174" s="420">
        <v>268</v>
      </c>
      <c r="AF174" s="415">
        <v>1</v>
      </c>
      <c r="AG174" s="403">
        <v>1</v>
      </c>
      <c r="AH174" s="403">
        <v>1</v>
      </c>
      <c r="AI174" s="403">
        <v>0</v>
      </c>
      <c r="AJ174" s="403">
        <v>24</v>
      </c>
      <c r="AK174" s="415"/>
      <c r="AL174" s="388">
        <v>2</v>
      </c>
      <c r="AM174" s="403" t="str">
        <f>VLOOKUP(Table2[[#This Row],[Course Title]],'TSD-Data'!$A$1:$G$70,7,FALSE)</f>
        <v>N4</v>
      </c>
    </row>
    <row r="175" spans="1:39" s="380" customFormat="1" x14ac:dyDescent="0.25">
      <c r="A175" s="369"/>
      <c r="B175" s="436" t="s">
        <v>49</v>
      </c>
      <c r="C175" s="370" t="str">
        <f>VLOOKUP(Table2[[#This Row],[Course Title]],'TSD-Data'!$A$1:$E$70,2,FALSE)</f>
        <v>A-493-0092</v>
      </c>
      <c r="D175" s="370">
        <f>VLOOKUP(Table2[[#This Row],[Course Title]],'TSD-Data'!$A$1:$E$70,3,FALSE)</f>
        <v>5891</v>
      </c>
      <c r="E175" s="369" t="s">
        <v>179</v>
      </c>
      <c r="F175" s="371">
        <v>46071</v>
      </c>
      <c r="G175" s="371">
        <v>46073</v>
      </c>
      <c r="H175" s="371" t="s">
        <v>752</v>
      </c>
      <c r="I175" s="372">
        <v>0.33333333333333331</v>
      </c>
      <c r="J175" s="372"/>
      <c r="K175" s="371"/>
      <c r="L175" s="371"/>
      <c r="M175" s="371"/>
      <c r="N175" s="371"/>
      <c r="O175" s="371"/>
      <c r="P175" s="375" t="s">
        <v>297</v>
      </c>
      <c r="Q175" s="375"/>
      <c r="R175" s="375" t="s">
        <v>244</v>
      </c>
      <c r="S175" s="370">
        <f>VLOOKUP(Table2[[#This Row],[Course Title]],'TSD-Data'!$A$1:$E$70,4,FALSE)</f>
        <v>25</v>
      </c>
      <c r="T175" s="377">
        <f>VLOOKUP(Table2[[#This Row],[Course Title]],'TSD-Data'!$A$1:$F$70,6,FALSE)</f>
        <v>24</v>
      </c>
      <c r="U175" s="378">
        <f>VLOOKUP(Table2[[#This Row],[Course Title]],'TSD-Data'!$A$1:$F$70,5,FALSE)</f>
        <v>3</v>
      </c>
      <c r="V175" s="379">
        <v>51</v>
      </c>
      <c r="W175" s="377"/>
      <c r="X175" s="377"/>
      <c r="Y175" s="379"/>
      <c r="Z175" s="379"/>
      <c r="AA175" s="377"/>
      <c r="AB175" s="377"/>
      <c r="AC175" s="377"/>
      <c r="AD175" s="377"/>
      <c r="AE175" s="379">
        <f ca="1">Table2[[#This Row],[End Date]]+2-TODAY()</f>
        <v>257</v>
      </c>
      <c r="AF175" s="377">
        <f>IF(ISBLANK(Table2[[#This Row],[Roster Received by]]),1,0)</f>
        <v>1</v>
      </c>
      <c r="AG175" s="377">
        <f ca="1">IF(Table2[[#This Row],[Start Date]]&gt;TODAY(),1,)</f>
        <v>1</v>
      </c>
      <c r="AH175" s="377">
        <f>IF(ISBLANK(Table2[[#This Row],[Primary Instructor]]),0,1)</f>
        <v>1</v>
      </c>
      <c r="AI175" s="377">
        <f>IF(ISBLANK(Table2[[#This Row],[Instructor 2]]),0,1)</f>
        <v>0</v>
      </c>
      <c r="AJ175" s="377">
        <f>Table2[[#This Row],[Course Length (Hours)]]/(SUM(Table2[[#This Row],[1]:[2]]))</f>
        <v>24</v>
      </c>
      <c r="AK175" s="377"/>
      <c r="AL175" s="388">
        <v>2</v>
      </c>
      <c r="AM175" s="403" t="str">
        <f>VLOOKUP(Table2[[#This Row],[Course Title]],'TSD-Data'!$A$1:$G$70,7,FALSE)</f>
        <v>N3</v>
      </c>
    </row>
    <row r="176" spans="1:39" s="380" customFormat="1" x14ac:dyDescent="0.25">
      <c r="A176" s="368"/>
      <c r="B176" s="369" t="s">
        <v>334</v>
      </c>
      <c r="C176" s="370" t="str">
        <f>VLOOKUP(Table2[[#This Row],[Course Title]],'TSD-Data'!$A$1:$E$70,2,FALSE)</f>
        <v>A-493-2099</v>
      </c>
      <c r="D176" s="370" t="str">
        <f>VLOOKUP(Table2[[#This Row],[Course Title]],'TSD-Data'!$A$1:$E$70,3,FALSE)</f>
        <v>438G</v>
      </c>
      <c r="E176" s="369" t="s">
        <v>179</v>
      </c>
      <c r="F176" s="371">
        <v>46071</v>
      </c>
      <c r="G176" s="371">
        <v>46072</v>
      </c>
      <c r="H176" s="371" t="s">
        <v>752</v>
      </c>
      <c r="I176" s="372">
        <v>0.33333333333333331</v>
      </c>
      <c r="J176" s="372"/>
      <c r="K176" s="371"/>
      <c r="L176" s="371"/>
      <c r="M176" s="371"/>
      <c r="N176" s="371"/>
      <c r="O176" s="371"/>
      <c r="P176" s="375" t="s">
        <v>244</v>
      </c>
      <c r="Q176" s="375"/>
      <c r="R176" s="376"/>
      <c r="S176" s="370">
        <f>VLOOKUP(Table2[[#This Row],[Course Title]],'TSD-Data'!$A$1:$E$70,4,FALSE)</f>
        <v>30</v>
      </c>
      <c r="T176" s="377">
        <f>VLOOKUP(Table2[[#This Row],[Course Title]],'TSD-Data'!$A$1:$F$70,6,FALSE)</f>
        <v>16</v>
      </c>
      <c r="U176" s="378">
        <f>VLOOKUP(Table2[[#This Row],[Course Title]],'TSD-Data'!$A$1:$F$70,5,FALSE)</f>
        <v>2</v>
      </c>
      <c r="V176" s="379">
        <v>0</v>
      </c>
      <c r="W176" s="377"/>
      <c r="X176" s="377"/>
      <c r="Y176" s="378"/>
      <c r="Z176" s="378"/>
      <c r="AA176" s="370"/>
      <c r="AB176" s="370"/>
      <c r="AC176" s="370"/>
      <c r="AD176" s="370"/>
      <c r="AE176" s="378">
        <f ca="1">Table2[[#This Row],[End Date]]+2-TODAY()</f>
        <v>256</v>
      </c>
      <c r="AF176" s="370">
        <f>IF(ISBLANK(Table2[[#This Row],[Roster Received by]]),1,0)</f>
        <v>1</v>
      </c>
      <c r="AG176" s="377">
        <f ca="1">IF(Table2[[#This Row],[Start Date]]&gt;TODAY(),1,)</f>
        <v>1</v>
      </c>
      <c r="AH176" s="377">
        <f>IF(ISBLANK(Table2[[#This Row],[Primary Instructor]]),0,1)</f>
        <v>1</v>
      </c>
      <c r="AI176" s="377">
        <f>IF(ISBLANK(Table2[[#This Row],[Instructor 2]]),0,1)</f>
        <v>0</v>
      </c>
      <c r="AJ176" s="377">
        <f>Table2[[#This Row],[Course Length (Hours)]]/(SUM(Table2[[#This Row],[1]:[2]]))</f>
        <v>16</v>
      </c>
      <c r="AK176" s="370"/>
      <c r="AL176" s="388">
        <v>2</v>
      </c>
      <c r="AM176" s="403" t="str">
        <f>VLOOKUP(Table2[[#This Row],[Course Title]],'TSD-Data'!$A$1:$G$70,7,FALSE)</f>
        <v>N1</v>
      </c>
    </row>
    <row r="177" spans="1:39" s="380" customFormat="1" x14ac:dyDescent="0.25">
      <c r="A177" s="413"/>
      <c r="B177" s="369" t="s">
        <v>31</v>
      </c>
      <c r="C177" s="370" t="str">
        <f>VLOOKUP(Table2[[#This Row],[Course Title]],'TSD-Data'!$A$1:$E$70,2,FALSE)</f>
        <v>A-493-0083</v>
      </c>
      <c r="D177" s="370" t="str">
        <f>VLOOKUP(Table2[[#This Row],[Course Title]],'TSD-Data'!$A$1:$E$70,3,FALSE)</f>
        <v>339E</v>
      </c>
      <c r="E177" s="414" t="s">
        <v>284</v>
      </c>
      <c r="F177" s="416">
        <v>46073</v>
      </c>
      <c r="G177" s="416">
        <v>46073</v>
      </c>
      <c r="H177" s="371" t="s">
        <v>752</v>
      </c>
      <c r="I177" s="417">
        <v>0.33333333333333331</v>
      </c>
      <c r="J177" s="417"/>
      <c r="K177" s="416"/>
      <c r="L177" s="416"/>
      <c r="M177" s="416"/>
      <c r="N177" s="416"/>
      <c r="O177" s="416"/>
      <c r="P177" s="418" t="s">
        <v>241</v>
      </c>
      <c r="Q177" s="418"/>
      <c r="R177" s="376"/>
      <c r="S177" s="370">
        <f>VLOOKUP(Table2[[#This Row],[Course Title]],'TSD-Data'!$A$1:$E$70,4,FALSE)</f>
        <v>30</v>
      </c>
      <c r="T177" s="377">
        <f>VLOOKUP(Table2[[#This Row],[Course Title]],'TSD-Data'!$A$1:$F$70,6,FALSE)</f>
        <v>8</v>
      </c>
      <c r="U177" s="378">
        <f>VLOOKUP(Table2[[#This Row],[Course Title]],'TSD-Data'!$A$1:$F$70,5,FALSE)</f>
        <v>1</v>
      </c>
      <c r="V177" s="379">
        <v>92</v>
      </c>
      <c r="W177" s="377"/>
      <c r="X177" s="377"/>
      <c r="Y177" s="420"/>
      <c r="Z177" s="420"/>
      <c r="AA177" s="415"/>
      <c r="AB177" s="415"/>
      <c r="AC177" s="421"/>
      <c r="AD177" s="421"/>
      <c r="AE177" s="420">
        <v>268</v>
      </c>
      <c r="AF177" s="415">
        <v>1</v>
      </c>
      <c r="AG177" s="403">
        <v>1</v>
      </c>
      <c r="AH177" s="403">
        <v>1</v>
      </c>
      <c r="AI177" s="403">
        <v>0</v>
      </c>
      <c r="AJ177" s="403">
        <v>8</v>
      </c>
      <c r="AK177" s="415"/>
      <c r="AL177" s="388">
        <v>2</v>
      </c>
      <c r="AM177" s="403" t="str">
        <f>VLOOKUP(Table2[[#This Row],[Course Title]],'TSD-Data'!$A$1:$G$70,7,FALSE)</f>
        <v>N4</v>
      </c>
    </row>
    <row r="178" spans="1:39" s="380" customFormat="1" x14ac:dyDescent="0.25">
      <c r="A178" s="369"/>
      <c r="B178" s="432" t="s">
        <v>15</v>
      </c>
      <c r="C178" s="370" t="str">
        <f>VLOOKUP(Table2[[#This Row],[Course Title]],'TSD-Data'!$A$1:$E$70,2,FALSE)</f>
        <v>A-4J-0022</v>
      </c>
      <c r="D178" s="370" t="str">
        <f>VLOOKUP(Table2[[#This Row],[Course Title]],'TSD-Data'!$A$1:$E$70,3,FALSE)</f>
        <v>09ER</v>
      </c>
      <c r="E178" s="369" t="s">
        <v>86</v>
      </c>
      <c r="F178" s="371">
        <v>46076</v>
      </c>
      <c r="G178" s="371">
        <v>46080</v>
      </c>
      <c r="H178" s="371" t="s">
        <v>752</v>
      </c>
      <c r="I178" s="372"/>
      <c r="J178" s="439">
        <v>0.5</v>
      </c>
      <c r="K178" s="439">
        <v>0.375</v>
      </c>
      <c r="L178" s="439">
        <v>0.83333333333333337</v>
      </c>
      <c r="M178" s="439">
        <v>0.75</v>
      </c>
      <c r="N178" s="439">
        <v>0.29166666666666669</v>
      </c>
      <c r="O178" s="439">
        <v>8.3333333333333329E-2</v>
      </c>
      <c r="P178" s="375" t="s">
        <v>233</v>
      </c>
      <c r="Q178" s="375"/>
      <c r="R178" s="375"/>
      <c r="S178" s="370">
        <f>VLOOKUP(Table2[[#This Row],[Course Title]],'TSD-Data'!$A$1:$E$70,4,FALSE)</f>
        <v>45</v>
      </c>
      <c r="T178" s="377">
        <f>VLOOKUP(Table2[[#This Row],[Course Title]],'TSD-Data'!$A$1:$F$70,6,FALSE)</f>
        <v>16</v>
      </c>
      <c r="U178" s="378">
        <f>VLOOKUP(Table2[[#This Row],[Course Title]],'TSD-Data'!$A$1:$F$70,5,FALSE)</f>
        <v>2</v>
      </c>
      <c r="V178" s="379">
        <v>130</v>
      </c>
      <c r="W178" s="377"/>
      <c r="X178" s="377"/>
      <c r="Y178" s="379"/>
      <c r="Z178" s="379"/>
      <c r="AA178" s="377"/>
      <c r="AB178" s="377"/>
      <c r="AC178" s="377"/>
      <c r="AD178" s="377"/>
      <c r="AE178" s="379">
        <f ca="1">Table2[[#This Row],[End Date]]+2-TODAY()</f>
        <v>264</v>
      </c>
      <c r="AF178" s="377">
        <f>IF(ISBLANK(Table2[[#This Row],[Roster Received by]]),1,0)</f>
        <v>1</v>
      </c>
      <c r="AG178" s="377">
        <f ca="1">IF(Table2[[#This Row],[Start Date]]&gt;TODAY(),1,)</f>
        <v>1</v>
      </c>
      <c r="AH178" s="377">
        <f>IF(ISBLANK(Table2[[#This Row],[Primary Instructor]]),0,1)</f>
        <v>1</v>
      </c>
      <c r="AI178" s="377">
        <f>IF(ISBLANK(Table2[[#This Row],[Instructor 2]]),0,1)</f>
        <v>0</v>
      </c>
      <c r="AJ178" s="377">
        <f>Table2[[#This Row],[Course Length (Hours)]]/(SUM(Table2[[#This Row],[1]:[2]]))</f>
        <v>16</v>
      </c>
      <c r="AK178" s="377"/>
      <c r="AL178" s="388">
        <v>2</v>
      </c>
      <c r="AM178" s="403" t="str">
        <f>VLOOKUP(Table2[[#This Row],[Course Title]],'TSD-Data'!$A$1:$G$70,7,FALSE)</f>
        <v>N4</v>
      </c>
    </row>
    <row r="179" spans="1:39" s="380" customFormat="1" x14ac:dyDescent="0.25">
      <c r="A179" s="368"/>
      <c r="B179" s="432" t="s">
        <v>37</v>
      </c>
      <c r="C179" s="370" t="str">
        <f>VLOOKUP(Table2[[#This Row],[Course Title]],'TSD-Data'!$A$1:$E$70,2,FALSE)</f>
        <v>A-493-0665</v>
      </c>
      <c r="D179" s="370" t="str">
        <f>VLOOKUP(Table2[[#This Row],[Course Title]],'TSD-Data'!$A$1:$E$70,3,FALSE)</f>
        <v>10KW</v>
      </c>
      <c r="E179" s="369" t="s">
        <v>86</v>
      </c>
      <c r="F179" s="371">
        <v>46076</v>
      </c>
      <c r="G179" s="371">
        <v>46078</v>
      </c>
      <c r="H179" s="371" t="s">
        <v>752</v>
      </c>
      <c r="I179" s="372"/>
      <c r="J179" s="372">
        <v>0.79166666666666663</v>
      </c>
      <c r="K179" s="381">
        <v>0.66666666666666663</v>
      </c>
      <c r="L179" s="381">
        <v>0.125</v>
      </c>
      <c r="M179" s="381">
        <v>4.1666666666666664E-2</v>
      </c>
      <c r="N179" s="381">
        <v>0.58333333333333337</v>
      </c>
      <c r="O179" s="381">
        <v>0.375</v>
      </c>
      <c r="P179" s="375" t="s">
        <v>248</v>
      </c>
      <c r="Q179" s="375"/>
      <c r="R179" s="376"/>
      <c r="S179" s="370">
        <f>VLOOKUP(Table2[[#This Row],[Course Title]],'TSD-Data'!$A$1:$E$70,4,FALSE)</f>
        <v>45</v>
      </c>
      <c r="T179" s="377">
        <f>VLOOKUP(Table2[[#This Row],[Course Title]],'TSD-Data'!$A$1:$F$70,6,FALSE)</f>
        <v>24</v>
      </c>
      <c r="U179" s="378">
        <f>VLOOKUP(Table2[[#This Row],[Course Title]],'TSD-Data'!$A$1:$F$70,5,FALSE)</f>
        <v>3</v>
      </c>
      <c r="V179" s="379">
        <v>82</v>
      </c>
      <c r="W179" s="377"/>
      <c r="X179" s="377"/>
      <c r="Y179" s="378"/>
      <c r="Z179" s="378"/>
      <c r="AA179" s="370"/>
      <c r="AB179" s="370"/>
      <c r="AC179" s="370"/>
      <c r="AD179" s="370"/>
      <c r="AE179" s="378">
        <f ca="1">Table2[[#This Row],[End Date]]+2-TODAY()</f>
        <v>262</v>
      </c>
      <c r="AF179" s="370">
        <f>IF(ISBLANK(Table2[[#This Row],[Roster Received by]]),1,0)</f>
        <v>1</v>
      </c>
      <c r="AG179" s="377">
        <f ca="1">IF(Table2[[#This Row],[Start Date]]&gt;TODAY(),1,)</f>
        <v>1</v>
      </c>
      <c r="AH179" s="377">
        <f>IF(ISBLANK(Table2[[#This Row],[Primary Instructor]]),0,1)</f>
        <v>1</v>
      </c>
      <c r="AI179" s="377">
        <f>IF(ISBLANK(Table2[[#This Row],[Instructor 2]]),0,1)</f>
        <v>0</v>
      </c>
      <c r="AJ179" s="377">
        <f>Table2[[#This Row],[Course Length (Hours)]]/(SUM(Table2[[#This Row],[1]:[2]]))</f>
        <v>24</v>
      </c>
      <c r="AK179" s="370"/>
      <c r="AL179" s="388">
        <v>2</v>
      </c>
      <c r="AM179" s="403" t="str">
        <f>VLOOKUP(Table2[[#This Row],[Course Title]],'TSD-Data'!$A$1:$G$70,7,FALSE)</f>
        <v>N5</v>
      </c>
    </row>
    <row r="180" spans="1:39" s="380" customFormat="1" x14ac:dyDescent="0.25">
      <c r="A180" s="427" t="s">
        <v>709</v>
      </c>
      <c r="B180" s="401" t="s">
        <v>17</v>
      </c>
      <c r="C180" s="370" t="str">
        <f>VLOOKUP(Table2[[#This Row],[Course Title]],'TSD-Data'!$A$1:$E$70,2,FALSE)</f>
        <v>A-493-0012</v>
      </c>
      <c r="D180" s="370">
        <f>VLOOKUP(Table2[[#This Row],[Course Title]],'TSD-Data'!$A$1:$E$70,3,FALSE)</f>
        <v>3682</v>
      </c>
      <c r="E180" s="401" t="s">
        <v>175</v>
      </c>
      <c r="F180" s="426">
        <v>46076</v>
      </c>
      <c r="G180" s="426">
        <v>46080</v>
      </c>
      <c r="H180" s="371" t="s">
        <v>752</v>
      </c>
      <c r="I180" s="372">
        <v>0.33333333333333331</v>
      </c>
      <c r="J180" s="372"/>
      <c r="K180" s="371"/>
      <c r="L180" s="371"/>
      <c r="M180" s="371"/>
      <c r="N180" s="371"/>
      <c r="O180" s="371"/>
      <c r="P180" s="375" t="s">
        <v>241</v>
      </c>
      <c r="Q180" s="375"/>
      <c r="R180" s="376"/>
      <c r="S180" s="370">
        <f>VLOOKUP(Table2[[#This Row],[Course Title]],'TSD-Data'!$A$1:$E$70,4,FALSE)</f>
        <v>40</v>
      </c>
      <c r="T180" s="377">
        <f>VLOOKUP(Table2[[#This Row],[Course Title]],'TSD-Data'!$A$1:$F$70,6,FALSE)</f>
        <v>40</v>
      </c>
      <c r="U180" s="378">
        <f>VLOOKUP(Table2[[#This Row],[Course Title]],'TSD-Data'!$A$1:$F$70,5,FALSE)</f>
        <v>5</v>
      </c>
      <c r="V180" s="377">
        <v>10</v>
      </c>
      <c r="W180" s="377"/>
      <c r="X180" s="377"/>
      <c r="Y180" s="378"/>
      <c r="Z180" s="378"/>
      <c r="AA180" s="370"/>
      <c r="AB180" s="370"/>
      <c r="AC180" s="370"/>
      <c r="AD180" s="370"/>
      <c r="AE180" s="378" t="e">
        <v>#REF!</v>
      </c>
      <c r="AF180" s="370">
        <v>0</v>
      </c>
      <c r="AG180" s="377" t="e">
        <v>#REF!</v>
      </c>
      <c r="AH180" s="377">
        <v>1</v>
      </c>
      <c r="AI180" s="377">
        <v>1</v>
      </c>
      <c r="AJ180" s="377" t="e">
        <v>#VALUE!</v>
      </c>
      <c r="AK180" s="370"/>
      <c r="AL180" s="388">
        <v>2</v>
      </c>
      <c r="AM180" s="403" t="str">
        <f>VLOOKUP(Table2[[#This Row],[Course Title]],'TSD-Data'!$A$1:$G$70,7,FALSE)</f>
        <v>N4</v>
      </c>
    </row>
    <row r="181" spans="1:39" s="380" customFormat="1" x14ac:dyDescent="0.25">
      <c r="A181" s="368"/>
      <c r="B181" s="369" t="s">
        <v>38</v>
      </c>
      <c r="C181" s="370" t="str">
        <f>VLOOKUP(Table2[[#This Row],[Course Title]],'TSD-Data'!$A$1:$E$70,2,FALSE)</f>
        <v>A-493-0061</v>
      </c>
      <c r="D181" s="370" t="str">
        <f>VLOOKUP(Table2[[#This Row],[Course Title]],'TSD-Data'!$A$1:$E$70,3,FALSE)</f>
        <v>288E</v>
      </c>
      <c r="E181" s="369" t="s">
        <v>86</v>
      </c>
      <c r="F181" s="371">
        <v>46076</v>
      </c>
      <c r="G181" s="371">
        <v>46079</v>
      </c>
      <c r="H181" s="371" t="s">
        <v>752</v>
      </c>
      <c r="I181" s="372"/>
      <c r="J181" s="381">
        <v>0.5</v>
      </c>
      <c r="K181" s="381">
        <v>0.375</v>
      </c>
      <c r="L181" s="381">
        <v>0.83333333333333337</v>
      </c>
      <c r="M181" s="381">
        <v>0.75</v>
      </c>
      <c r="N181" s="381">
        <v>0.29166666666666669</v>
      </c>
      <c r="O181" s="381">
        <v>8.3333333333333329E-2</v>
      </c>
      <c r="P181" s="375" t="s">
        <v>274</v>
      </c>
      <c r="Q181" s="375"/>
      <c r="R181" s="376"/>
      <c r="S181" s="370">
        <f>VLOOKUP(Table2[[#This Row],[Course Title]],'TSD-Data'!$A$1:$E$70,4,FALSE)</f>
        <v>45</v>
      </c>
      <c r="T181" s="377">
        <f>VLOOKUP(Table2[[#This Row],[Course Title]],'TSD-Data'!$A$1:$F$70,6,FALSE)</f>
        <v>30</v>
      </c>
      <c r="U181" s="378">
        <f>VLOOKUP(Table2[[#This Row],[Course Title]],'TSD-Data'!$A$1:$F$70,5,FALSE)</f>
        <v>4</v>
      </c>
      <c r="V181" s="379">
        <v>620</v>
      </c>
      <c r="W181" s="377"/>
      <c r="X181" s="377"/>
      <c r="Y181" s="378"/>
      <c r="Z181" s="378"/>
      <c r="AA181" s="370"/>
      <c r="AB181" s="370"/>
      <c r="AC181" s="370"/>
      <c r="AD181" s="370"/>
      <c r="AE181" s="378">
        <f ca="1">Table2[[#This Row],[End Date]]+2-TODAY()</f>
        <v>263</v>
      </c>
      <c r="AF181" s="370">
        <f>IF(ISBLANK(Table2[[#This Row],[Roster Received by]]),1,0)</f>
        <v>1</v>
      </c>
      <c r="AG181" s="377">
        <f ca="1">IF(Table2[[#This Row],[Start Date]]&gt;TODAY(),1,)</f>
        <v>1</v>
      </c>
      <c r="AH181" s="377">
        <f>IF(ISBLANK(Table2[[#This Row],[Primary Instructor]]),0,1)</f>
        <v>1</v>
      </c>
      <c r="AI181" s="377">
        <f>IF(ISBLANK(Table2[[#This Row],[Instructor 2]]),0,1)</f>
        <v>0</v>
      </c>
      <c r="AJ181" s="377">
        <f>Table2[[#This Row],[Course Length (Hours)]]/(SUM(Table2[[#This Row],[1]:[2]]))</f>
        <v>30</v>
      </c>
      <c r="AK181" s="370"/>
      <c r="AL181" s="388">
        <v>2</v>
      </c>
      <c r="AM181" s="403" t="str">
        <f>VLOOKUP(Table2[[#This Row],[Course Title]],'TSD-Data'!$A$1:$G$70,7,FALSE)</f>
        <v>N5</v>
      </c>
    </row>
    <row r="182" spans="1:39" s="380" customFormat="1" x14ac:dyDescent="0.25">
      <c r="A182" s="413"/>
      <c r="B182" s="369" t="s">
        <v>29</v>
      </c>
      <c r="C182" s="370" t="str">
        <f>VLOOKUP(Table2[[#This Row],[Course Title]],'TSD-Data'!$A$1:$E$70,2,FALSE)</f>
        <v>A-493-0077</v>
      </c>
      <c r="D182" s="370" t="str">
        <f>VLOOKUP(Table2[[#This Row],[Course Title]],'TSD-Data'!$A$1:$E$70,3,FALSE)</f>
        <v>0381</v>
      </c>
      <c r="E182" s="414" t="s">
        <v>157</v>
      </c>
      <c r="F182" s="416">
        <v>46076</v>
      </c>
      <c r="G182" s="416">
        <v>46078</v>
      </c>
      <c r="H182" s="371" t="s">
        <v>752</v>
      </c>
      <c r="I182" s="417">
        <v>0.33333333333333331</v>
      </c>
      <c r="J182" s="417"/>
      <c r="K182" s="416"/>
      <c r="L182" s="416"/>
      <c r="M182" s="416"/>
      <c r="N182" s="416"/>
      <c r="O182" s="416"/>
      <c r="P182" s="418" t="s">
        <v>241</v>
      </c>
      <c r="Q182" s="418"/>
      <c r="R182" s="376"/>
      <c r="S182" s="370">
        <f>VLOOKUP(Table2[[#This Row],[Course Title]],'TSD-Data'!$A$1:$E$70,4,FALSE)</f>
        <v>25</v>
      </c>
      <c r="T182" s="377">
        <f>VLOOKUP(Table2[[#This Row],[Course Title]],'TSD-Data'!$A$1:$F$70,6,FALSE)</f>
        <v>24</v>
      </c>
      <c r="U182" s="378">
        <f>VLOOKUP(Table2[[#This Row],[Course Title]],'TSD-Data'!$A$1:$F$70,5,FALSE)</f>
        <v>3</v>
      </c>
      <c r="V182" s="379">
        <v>63</v>
      </c>
      <c r="W182" s="377"/>
      <c r="X182" s="377"/>
      <c r="Y182" s="420"/>
      <c r="Z182" s="420"/>
      <c r="AA182" s="415"/>
      <c r="AB182" s="415"/>
      <c r="AC182" s="421"/>
      <c r="AD182" s="421"/>
      <c r="AE182" s="420">
        <v>273</v>
      </c>
      <c r="AF182" s="415">
        <v>1</v>
      </c>
      <c r="AG182" s="403">
        <v>1</v>
      </c>
      <c r="AH182" s="403">
        <v>1</v>
      </c>
      <c r="AI182" s="403">
        <v>0</v>
      </c>
      <c r="AJ182" s="403">
        <v>24</v>
      </c>
      <c r="AK182" s="415"/>
      <c r="AL182" s="388">
        <v>2</v>
      </c>
      <c r="AM182" s="403" t="str">
        <f>VLOOKUP(Table2[[#This Row],[Course Title]],'TSD-Data'!$A$1:$G$70,7,FALSE)</f>
        <v>N4</v>
      </c>
    </row>
    <row r="183" spans="1:39" s="380" customFormat="1" x14ac:dyDescent="0.25">
      <c r="A183" s="413"/>
      <c r="B183" s="369" t="s">
        <v>29</v>
      </c>
      <c r="C183" s="370" t="str">
        <f>VLOOKUP(Table2[[#This Row],[Course Title]],'TSD-Data'!$A$1:$E$70,2,FALSE)</f>
        <v>A-493-0077</v>
      </c>
      <c r="D183" s="370" t="str">
        <f>VLOOKUP(Table2[[#This Row],[Course Title]],'TSD-Data'!$A$1:$E$70,3,FALSE)</f>
        <v>0381</v>
      </c>
      <c r="E183" s="414" t="s">
        <v>284</v>
      </c>
      <c r="F183" s="416">
        <v>46076</v>
      </c>
      <c r="G183" s="416">
        <v>46078</v>
      </c>
      <c r="H183" s="371" t="s">
        <v>752</v>
      </c>
      <c r="I183" s="417">
        <v>0.33333333333333331</v>
      </c>
      <c r="J183" s="417"/>
      <c r="K183" s="416"/>
      <c r="L183" s="416"/>
      <c r="M183" s="416"/>
      <c r="N183" s="416"/>
      <c r="O183" s="416"/>
      <c r="P183" s="418" t="s">
        <v>241</v>
      </c>
      <c r="Q183" s="418"/>
      <c r="R183" s="376"/>
      <c r="S183" s="370">
        <f>VLOOKUP(Table2[[#This Row],[Course Title]],'TSD-Data'!$A$1:$E$70,4,FALSE)</f>
        <v>25</v>
      </c>
      <c r="T183" s="377">
        <f>VLOOKUP(Table2[[#This Row],[Course Title]],'TSD-Data'!$A$1:$F$70,6,FALSE)</f>
        <v>24</v>
      </c>
      <c r="U183" s="378">
        <f>VLOOKUP(Table2[[#This Row],[Course Title]],'TSD-Data'!$A$1:$F$70,5,FALSE)</f>
        <v>3</v>
      </c>
      <c r="V183" s="379">
        <v>53</v>
      </c>
      <c r="W183" s="377"/>
      <c r="X183" s="377"/>
      <c r="Y183" s="420"/>
      <c r="Z183" s="420"/>
      <c r="AA183" s="415"/>
      <c r="AB183" s="415"/>
      <c r="AC183" s="421"/>
      <c r="AD183" s="421"/>
      <c r="AE183" s="420">
        <v>273</v>
      </c>
      <c r="AF183" s="415">
        <v>1</v>
      </c>
      <c r="AG183" s="403">
        <v>1</v>
      </c>
      <c r="AH183" s="403">
        <v>1</v>
      </c>
      <c r="AI183" s="403">
        <v>0</v>
      </c>
      <c r="AJ183" s="403">
        <v>24</v>
      </c>
      <c r="AK183" s="415"/>
      <c r="AL183" s="388">
        <v>2</v>
      </c>
      <c r="AM183" s="403" t="str">
        <f>VLOOKUP(Table2[[#This Row],[Course Title]],'TSD-Data'!$A$1:$G$70,7,FALSE)</f>
        <v>N4</v>
      </c>
    </row>
    <row r="184" spans="1:39" s="380" customFormat="1" x14ac:dyDescent="0.25">
      <c r="A184" s="368"/>
      <c r="B184" s="369" t="s">
        <v>59</v>
      </c>
      <c r="C184" s="370" t="str">
        <f>VLOOKUP(Table2[[#This Row],[Course Title]],'TSD-Data'!$A$1:$E$70,2,FALSE)</f>
        <v>A-493-0550</v>
      </c>
      <c r="D184" s="370" t="str">
        <f>VLOOKUP(Table2[[#This Row],[Course Title]],'TSD-Data'!$A$1:$E$70,3,FALSE)</f>
        <v>09K5</v>
      </c>
      <c r="E184" s="369" t="s">
        <v>86</v>
      </c>
      <c r="F184" s="371">
        <v>46076</v>
      </c>
      <c r="G184" s="371">
        <v>46079</v>
      </c>
      <c r="H184" s="371" t="s">
        <v>752</v>
      </c>
      <c r="I184" s="372"/>
      <c r="J184" s="372">
        <v>0.33333333333333331</v>
      </c>
      <c r="K184" s="372">
        <v>0.20833333333333334</v>
      </c>
      <c r="L184" s="388">
        <v>1600</v>
      </c>
      <c r="M184" s="388">
        <v>1400</v>
      </c>
      <c r="N184" s="372">
        <v>0.125</v>
      </c>
      <c r="O184" s="388">
        <v>2200</v>
      </c>
      <c r="P184" s="375" t="s">
        <v>272</v>
      </c>
      <c r="Q184" s="375"/>
      <c r="R184" s="376"/>
      <c r="S184" s="370">
        <f>VLOOKUP(Table2[[#This Row],[Course Title]],'TSD-Data'!$A$1:$E$70,4,FALSE)</f>
        <v>45</v>
      </c>
      <c r="T184" s="377">
        <f>VLOOKUP(Table2[[#This Row],[Course Title]],'TSD-Data'!$A$1:$F$70,6,FALSE)</f>
        <v>32</v>
      </c>
      <c r="U184" s="378">
        <f>VLOOKUP(Table2[[#This Row],[Course Title]],'TSD-Data'!$A$1:$F$70,5,FALSE)</f>
        <v>4</v>
      </c>
      <c r="V184" s="379">
        <v>455</v>
      </c>
      <c r="W184" s="377"/>
      <c r="X184" s="377"/>
      <c r="Y184" s="378"/>
      <c r="Z184" s="378"/>
      <c r="AA184" s="370"/>
      <c r="AB184" s="370"/>
      <c r="AC184" s="370"/>
      <c r="AD184" s="370"/>
      <c r="AE184" s="378">
        <f ca="1">Table2[[#This Row],[End Date]]+2-TODAY()</f>
        <v>263</v>
      </c>
      <c r="AF184" s="370">
        <f>IF(ISBLANK(Table2[[#This Row],[Roster Received by]]),1,0)</f>
        <v>1</v>
      </c>
      <c r="AG184" s="377">
        <f ca="1">IF(Table2[[#This Row],[Start Date]]&gt;TODAY(),1,)</f>
        <v>1</v>
      </c>
      <c r="AH184" s="377">
        <f>IF(ISBLANK(Table2[[#This Row],[Primary Instructor]]),0,1)</f>
        <v>1</v>
      </c>
      <c r="AI184" s="377">
        <f>IF(ISBLANK(Table2[[#This Row],[Instructor 2]]),0,1)</f>
        <v>0</v>
      </c>
      <c r="AJ184" s="377">
        <f>Table2[[#This Row],[Course Length (Hours)]]/(SUM(Table2[[#This Row],[1]:[2]]))</f>
        <v>32</v>
      </c>
      <c r="AK184" s="370"/>
      <c r="AL184" s="388">
        <v>2</v>
      </c>
      <c r="AM184" s="403" t="str">
        <f>VLOOKUP(Table2[[#This Row],[Course Title]],'TSD-Data'!$A$1:$G$70,7,FALSE)</f>
        <v>N5</v>
      </c>
    </row>
    <row r="185" spans="1:39" s="380" customFormat="1" x14ac:dyDescent="0.25">
      <c r="A185" s="368"/>
      <c r="B185" s="369" t="s">
        <v>61</v>
      </c>
      <c r="C185" s="370" t="str">
        <f>VLOOKUP(Table2[[#This Row],[Course Title]],'TSD-Data'!$A$1:$E$70,2,FALSE)</f>
        <v>A-493-0078</v>
      </c>
      <c r="D185" s="370">
        <f>VLOOKUP(Table2[[#This Row],[Course Title]],'TSD-Data'!$A$1:$E$70,3,FALSE)</f>
        <v>1228</v>
      </c>
      <c r="E185" s="369" t="s">
        <v>86</v>
      </c>
      <c r="F185" s="371">
        <v>46076</v>
      </c>
      <c r="G185" s="371">
        <v>46079</v>
      </c>
      <c r="H185" s="371" t="s">
        <v>752</v>
      </c>
      <c r="I185" s="372"/>
      <c r="J185" s="381">
        <v>0.5</v>
      </c>
      <c r="K185" s="381">
        <v>0.375</v>
      </c>
      <c r="L185" s="381">
        <v>0.83333333333333337</v>
      </c>
      <c r="M185" s="381">
        <v>0.75</v>
      </c>
      <c r="N185" s="381">
        <v>0.29166666666666669</v>
      </c>
      <c r="O185" s="381">
        <v>8.3333333333333329E-2</v>
      </c>
      <c r="P185" s="375" t="s">
        <v>256</v>
      </c>
      <c r="Q185" s="375"/>
      <c r="R185" s="376"/>
      <c r="S185" s="370">
        <f>VLOOKUP(Table2[[#This Row],[Course Title]],'TSD-Data'!$A$1:$E$70,4,FALSE)</f>
        <v>45</v>
      </c>
      <c r="T185" s="377">
        <f>VLOOKUP(Table2[[#This Row],[Course Title]],'TSD-Data'!$A$1:$F$70,6,FALSE)</f>
        <v>32</v>
      </c>
      <c r="U185" s="378">
        <f>VLOOKUP(Table2[[#This Row],[Course Title]],'TSD-Data'!$A$1:$F$70,5,FALSE)</f>
        <v>4</v>
      </c>
      <c r="V185" s="379">
        <v>568</v>
      </c>
      <c r="W185" s="377"/>
      <c r="X185" s="377"/>
      <c r="Y185" s="378"/>
      <c r="Z185" s="378"/>
      <c r="AA185" s="370"/>
      <c r="AB185" s="370"/>
      <c r="AC185" s="370"/>
      <c r="AD185" s="370"/>
      <c r="AE185" s="378">
        <f ca="1">Table2[[#This Row],[End Date]]+2-TODAY()</f>
        <v>263</v>
      </c>
      <c r="AF185" s="370">
        <f>IF(ISBLANK(Table2[[#This Row],[Roster Received by]]),1,0)</f>
        <v>1</v>
      </c>
      <c r="AG185" s="377">
        <f ca="1">IF(Table2[[#This Row],[Start Date]]&gt;TODAY(),1,)</f>
        <v>1</v>
      </c>
      <c r="AH185" s="377">
        <f>IF(ISBLANK(Table2[[#This Row],[Primary Instructor]]),0,1)</f>
        <v>1</v>
      </c>
      <c r="AI185" s="377">
        <f>IF(ISBLANK(Table2[[#This Row],[Instructor 2]]),0,1)</f>
        <v>0</v>
      </c>
      <c r="AJ185" s="377">
        <f>Table2[[#This Row],[Course Length (Hours)]]/(SUM(Table2[[#This Row],[1]:[2]]))</f>
        <v>32</v>
      </c>
      <c r="AK185" s="370"/>
      <c r="AL185" s="388">
        <v>2</v>
      </c>
      <c r="AM185" s="403" t="str">
        <f>VLOOKUP(Table2[[#This Row],[Course Title]],'TSD-Data'!$A$1:$G$70,7,FALSE)</f>
        <v>N5</v>
      </c>
    </row>
    <row r="186" spans="1:39" s="380" customFormat="1" x14ac:dyDescent="0.25">
      <c r="A186" s="368"/>
      <c r="B186" s="432" t="s">
        <v>52</v>
      </c>
      <c r="C186" s="370" t="str">
        <f>VLOOKUP(Table2[[#This Row],[Course Title]],'TSD-Data'!$A$1:$E$70,2,FALSE)</f>
        <v>A-493-0085</v>
      </c>
      <c r="D186" s="370">
        <f>VLOOKUP(Table2[[#This Row],[Course Title]],'TSD-Data'!$A$1:$E$70,3,FALSE)</f>
        <v>3555</v>
      </c>
      <c r="E186" s="369" t="s">
        <v>86</v>
      </c>
      <c r="F186" s="371">
        <v>46076</v>
      </c>
      <c r="G186" s="371">
        <v>46079</v>
      </c>
      <c r="H186" s="371" t="s">
        <v>752</v>
      </c>
      <c r="I186" s="372"/>
      <c r="J186" s="440">
        <v>0.79166666666666663</v>
      </c>
      <c r="K186" s="381">
        <v>0.66666666666666663</v>
      </c>
      <c r="L186" s="381">
        <v>0.125</v>
      </c>
      <c r="M186" s="381">
        <v>4.1666666666666664E-2</v>
      </c>
      <c r="N186" s="381">
        <v>0.58333333333333337</v>
      </c>
      <c r="O186" s="381">
        <v>0.375</v>
      </c>
      <c r="P186" s="375" t="s">
        <v>299</v>
      </c>
      <c r="Q186" s="375"/>
      <c r="R186" s="376"/>
      <c r="S186" s="370">
        <f>VLOOKUP(Table2[[#This Row],[Course Title]],'TSD-Data'!$A$1:$E$70,4,FALSE)</f>
        <v>45</v>
      </c>
      <c r="T186" s="377">
        <f>VLOOKUP(Table2[[#This Row],[Course Title]],'TSD-Data'!$A$1:$F$70,6,FALSE)</f>
        <v>32</v>
      </c>
      <c r="U186" s="378">
        <f>VLOOKUP(Table2[[#This Row],[Course Title]],'TSD-Data'!$A$1:$F$70,5,FALSE)</f>
        <v>4</v>
      </c>
      <c r="V186" s="379">
        <v>166</v>
      </c>
      <c r="W186" s="377"/>
      <c r="X186" s="377"/>
      <c r="Y186" s="378"/>
      <c r="Z186" s="378"/>
      <c r="AA186" s="370"/>
      <c r="AB186" s="370"/>
      <c r="AC186" s="370"/>
      <c r="AD186" s="370"/>
      <c r="AE186" s="378">
        <f ca="1">Table2[[#This Row],[End Date]]+2-TODAY()</f>
        <v>263</v>
      </c>
      <c r="AF186" s="370">
        <f>IF(ISBLANK(Table2[[#This Row],[Roster Received by]]),1,0)</f>
        <v>1</v>
      </c>
      <c r="AG186" s="377">
        <f ca="1">IF(Table2[[#This Row],[Start Date]]&gt;TODAY(),1,)</f>
        <v>1</v>
      </c>
      <c r="AH186" s="377">
        <f>IF(ISBLANK(Table2[[#This Row],[Primary Instructor]]),0,1)</f>
        <v>1</v>
      </c>
      <c r="AI186" s="377">
        <f>IF(ISBLANK(Table2[[#This Row],[Instructor 2]]),0,1)</f>
        <v>0</v>
      </c>
      <c r="AJ186" s="377">
        <f>Table2[[#This Row],[Course Length (Hours)]]/(SUM(Table2[[#This Row],[1]:[2]]))</f>
        <v>32</v>
      </c>
      <c r="AK186" s="370"/>
      <c r="AL186" s="388">
        <v>2</v>
      </c>
      <c r="AM186" s="403" t="str">
        <f>VLOOKUP(Table2[[#This Row],[Course Title]],'TSD-Data'!$A$1:$G$70,7,FALSE)</f>
        <v>N3</v>
      </c>
    </row>
    <row r="187" spans="1:39" s="380" customFormat="1" x14ac:dyDescent="0.25">
      <c r="A187" s="368"/>
      <c r="B187" s="369" t="s">
        <v>39</v>
      </c>
      <c r="C187" s="370" t="str">
        <f>VLOOKUP(Table2[[#This Row],[Course Title]],'TSD-Data'!$A$1:$E$70,2,FALSE)</f>
        <v>A-570-0100</v>
      </c>
      <c r="D187" s="370" t="str">
        <f>VLOOKUP(Table2[[#This Row],[Course Title]],'TSD-Data'!$A$1:$E$70,3,FALSE)</f>
        <v>18B7</v>
      </c>
      <c r="E187" s="369" t="s">
        <v>86</v>
      </c>
      <c r="F187" s="371">
        <v>46076</v>
      </c>
      <c r="G187" s="371">
        <v>46077</v>
      </c>
      <c r="H187" s="371" t="s">
        <v>752</v>
      </c>
      <c r="I187" s="372"/>
      <c r="J187" s="381">
        <v>0.5</v>
      </c>
      <c r="K187" s="381">
        <v>0.375</v>
      </c>
      <c r="L187" s="381">
        <v>0.83333333333333337</v>
      </c>
      <c r="M187" s="381">
        <v>0.75</v>
      </c>
      <c r="N187" s="381">
        <v>0.29166666666666669</v>
      </c>
      <c r="O187" s="381">
        <v>8.3333333333333329E-2</v>
      </c>
      <c r="P187" s="375" t="s">
        <v>252</v>
      </c>
      <c r="Q187" s="375"/>
      <c r="R187" s="376"/>
      <c r="S187" s="370">
        <f>VLOOKUP(Table2[[#This Row],[Course Title]],'TSD-Data'!$A$1:$E$70,4,FALSE)</f>
        <v>45</v>
      </c>
      <c r="T187" s="377">
        <f>VLOOKUP(Table2[[#This Row],[Course Title]],'TSD-Data'!$A$1:$F$70,6,FALSE)</f>
        <v>16</v>
      </c>
      <c r="U187" s="378">
        <f>VLOOKUP(Table2[[#This Row],[Course Title]],'TSD-Data'!$A$1:$F$70,5,FALSE)</f>
        <v>2</v>
      </c>
      <c r="V187" s="379">
        <v>663</v>
      </c>
      <c r="W187" s="377"/>
      <c r="X187" s="377"/>
      <c r="Y187" s="378"/>
      <c r="Z187" s="378"/>
      <c r="AA187" s="370"/>
      <c r="AB187" s="370"/>
      <c r="AC187" s="370"/>
      <c r="AD187" s="370"/>
      <c r="AE187" s="378">
        <f ca="1">Table2[[#This Row],[End Date]]+2-TODAY()</f>
        <v>261</v>
      </c>
      <c r="AF187" s="370">
        <f>IF(ISBLANK(Table2[[#This Row],[Roster Received by]]),1,0)</f>
        <v>1</v>
      </c>
      <c r="AG187" s="377">
        <f ca="1">IF(Table2[[#This Row],[Start Date]]&gt;TODAY(),1,)</f>
        <v>1</v>
      </c>
      <c r="AH187" s="377">
        <f>IF(ISBLANK(Table2[[#This Row],[Primary Instructor]]),0,1)</f>
        <v>1</v>
      </c>
      <c r="AI187" s="377">
        <f>IF(ISBLANK(Table2[[#This Row],[Instructor 2]]),0,1)</f>
        <v>0</v>
      </c>
      <c r="AJ187" s="377">
        <f>Table2[[#This Row],[Course Length (Hours)]]/(SUM(Table2[[#This Row],[1]:[2]]))</f>
        <v>16</v>
      </c>
      <c r="AK187" s="370"/>
      <c r="AL187" s="388">
        <v>2</v>
      </c>
      <c r="AM187" s="403" t="str">
        <f>VLOOKUP(Table2[[#This Row],[Course Title]],'TSD-Data'!$A$1:$G$70,7,FALSE)</f>
        <v>N5</v>
      </c>
    </row>
    <row r="188" spans="1:39" s="380" customFormat="1" x14ac:dyDescent="0.25">
      <c r="A188" s="368"/>
      <c r="B188" s="369" t="s">
        <v>53</v>
      </c>
      <c r="C188" s="370" t="str">
        <f>VLOOKUP(Table2[[#This Row],[Course Title]],'TSD-Data'!$A$1:$E$70,2,FALSE)</f>
        <v>A-493-0072</v>
      </c>
      <c r="D188" s="370" t="str">
        <f>VLOOKUP(Table2[[#This Row],[Course Title]],'TSD-Data'!$A$1:$E$70,3,FALSE)</f>
        <v>713U</v>
      </c>
      <c r="E188" s="369" t="s">
        <v>179</v>
      </c>
      <c r="F188" s="371">
        <v>46076</v>
      </c>
      <c r="G188" s="371">
        <v>46080</v>
      </c>
      <c r="H188" s="371" t="s">
        <v>752</v>
      </c>
      <c r="I188" s="372">
        <v>0.33333333333333331</v>
      </c>
      <c r="J188" s="372"/>
      <c r="K188" s="371"/>
      <c r="L188" s="371"/>
      <c r="M188" s="371"/>
      <c r="N188" s="371"/>
      <c r="O188" s="371"/>
      <c r="P188" s="375" t="s">
        <v>297</v>
      </c>
      <c r="Q188" s="375"/>
      <c r="R188" s="376" t="s">
        <v>244</v>
      </c>
      <c r="S188" s="370">
        <f>VLOOKUP(Table2[[#This Row],[Course Title]],'TSD-Data'!$A$1:$E$70,4,FALSE)</f>
        <v>30</v>
      </c>
      <c r="T188" s="377">
        <f>VLOOKUP(Table2[[#This Row],[Course Title]],'TSD-Data'!$A$1:$F$70,6,FALSE)</f>
        <v>40</v>
      </c>
      <c r="U188" s="378">
        <f>VLOOKUP(Table2[[#This Row],[Course Title]],'TSD-Data'!$A$1:$F$70,5,FALSE)</f>
        <v>5</v>
      </c>
      <c r="V188" s="379">
        <v>78</v>
      </c>
      <c r="W188" s="377"/>
      <c r="X188" s="377"/>
      <c r="Y188" s="378"/>
      <c r="Z188" s="378"/>
      <c r="AA188" s="370"/>
      <c r="AB188" s="370"/>
      <c r="AC188" s="370"/>
      <c r="AD188" s="370"/>
      <c r="AE188" s="378">
        <f ca="1">Table2[[#This Row],[End Date]]+2-TODAY()</f>
        <v>264</v>
      </c>
      <c r="AF188" s="370">
        <f>IF(ISBLANK(Table2[[#This Row],[Roster Received by]]),1,0)</f>
        <v>1</v>
      </c>
      <c r="AG188" s="377">
        <f ca="1">IF(Table2[[#This Row],[Start Date]]&gt;TODAY(),1,)</f>
        <v>1</v>
      </c>
      <c r="AH188" s="377">
        <f>IF(ISBLANK(Table2[[#This Row],[Primary Instructor]]),0,1)</f>
        <v>1</v>
      </c>
      <c r="AI188" s="377">
        <f>IF(ISBLANK(Table2[[#This Row],[Instructor 2]]),0,1)</f>
        <v>0</v>
      </c>
      <c r="AJ188" s="377">
        <f>Table2[[#This Row],[Course Length (Hours)]]/(SUM(Table2[[#This Row],[1]:[2]]))</f>
        <v>40</v>
      </c>
      <c r="AK188" s="370"/>
      <c r="AL188" s="388">
        <v>2</v>
      </c>
      <c r="AM188" s="403" t="str">
        <f>VLOOKUP(Table2[[#This Row],[Course Title]],'TSD-Data'!$A$1:$G$70,7,FALSE)</f>
        <v>N3</v>
      </c>
    </row>
    <row r="189" spans="1:39" s="380" customFormat="1" x14ac:dyDescent="0.25">
      <c r="A189" s="368"/>
      <c r="B189" s="369" t="s">
        <v>329</v>
      </c>
      <c r="C189" s="370" t="str">
        <f>VLOOKUP(Table2[[#This Row],[Course Title]],'TSD-Data'!$A$1:$E$70,2,FALSE)</f>
        <v>A-4J-0019</v>
      </c>
      <c r="D189" s="370" t="str">
        <f>VLOOKUP(Table2[[#This Row],[Course Title]],'TSD-Data'!$A$1:$E$70,3,FALSE)</f>
        <v>28SL/285M</v>
      </c>
      <c r="E189" s="369" t="s">
        <v>171</v>
      </c>
      <c r="F189" s="371">
        <v>46076</v>
      </c>
      <c r="G189" s="371">
        <v>46080</v>
      </c>
      <c r="H189" s="371" t="s">
        <v>752</v>
      </c>
      <c r="I189" s="372">
        <v>0.3125</v>
      </c>
      <c r="J189" s="372"/>
      <c r="K189" s="371"/>
      <c r="L189" s="371"/>
      <c r="M189" s="371"/>
      <c r="N189" s="371"/>
      <c r="O189" s="371"/>
      <c r="P189" s="375" t="s">
        <v>310</v>
      </c>
      <c r="Q189" s="375" t="s">
        <v>311</v>
      </c>
      <c r="R189" s="376"/>
      <c r="S189" s="370">
        <f>VLOOKUP(Table2[[#This Row],[Course Title]],'TSD-Data'!$A$1:$E$70,4,FALSE)</f>
        <v>20</v>
      </c>
      <c r="T189" s="377">
        <f>VLOOKUP(Table2[[#This Row],[Course Title]],'TSD-Data'!$A$1:$F$70,6,FALSE)</f>
        <v>40</v>
      </c>
      <c r="U189" s="378">
        <f>VLOOKUP(Table2[[#This Row],[Course Title]],'TSD-Data'!$A$1:$F$70,5,FALSE)</f>
        <v>5</v>
      </c>
      <c r="V189" s="379">
        <v>148</v>
      </c>
      <c r="W189" s="377"/>
      <c r="X189" s="377"/>
      <c r="Y189" s="378"/>
      <c r="Z189" s="378"/>
      <c r="AA189" s="370"/>
      <c r="AB189" s="370"/>
      <c r="AC189" s="370"/>
      <c r="AD189" s="370"/>
      <c r="AE189" s="378">
        <f ca="1">Table2[[#This Row],[End Date]]+2-TODAY()</f>
        <v>264</v>
      </c>
      <c r="AF189" s="370">
        <f>IF(ISBLANK(Table2[[#This Row],[Roster Received by]]),1,0)</f>
        <v>1</v>
      </c>
      <c r="AG189" s="377">
        <f ca="1">IF(Table2[[#This Row],[Start Date]]&gt;TODAY(),1,)</f>
        <v>1</v>
      </c>
      <c r="AH189" s="377">
        <f>IF(ISBLANK(Table2[[#This Row],[Primary Instructor]]),0,1)</f>
        <v>1</v>
      </c>
      <c r="AI189" s="377">
        <f>IF(ISBLANK(Table2[[#This Row],[Instructor 2]]),0,1)</f>
        <v>1</v>
      </c>
      <c r="AJ189" s="377">
        <f>Table2[[#This Row],[Course Length (Hours)]]/(SUM(Table2[[#This Row],[1]:[2]]))</f>
        <v>20</v>
      </c>
      <c r="AK189" s="370"/>
      <c r="AL189" s="388">
        <v>2</v>
      </c>
      <c r="AM189" s="403" t="str">
        <f>VLOOKUP(Table2[[#This Row],[Course Title]],'TSD-Data'!$A$1:$G$70,7,FALSE)</f>
        <v>N1</v>
      </c>
    </row>
    <row r="190" spans="1:39" s="380" customFormat="1" x14ac:dyDescent="0.25">
      <c r="A190" s="368"/>
      <c r="B190" s="369" t="s">
        <v>334</v>
      </c>
      <c r="C190" s="370" t="str">
        <f>VLOOKUP(Table2[[#This Row],[Course Title]],'TSD-Data'!$A$1:$E$70,2,FALSE)</f>
        <v>A-493-2099</v>
      </c>
      <c r="D190" s="370" t="str">
        <f>VLOOKUP(Table2[[#This Row],[Course Title]],'TSD-Data'!$A$1:$E$70,3,FALSE)</f>
        <v>438G</v>
      </c>
      <c r="E190" s="369" t="s">
        <v>179</v>
      </c>
      <c r="F190" s="371">
        <v>46077</v>
      </c>
      <c r="G190" s="371">
        <v>46078</v>
      </c>
      <c r="H190" s="371" t="s">
        <v>752</v>
      </c>
      <c r="I190" s="372">
        <v>0.33333333333333331</v>
      </c>
      <c r="J190" s="372"/>
      <c r="K190" s="371"/>
      <c r="L190" s="371"/>
      <c r="M190" s="371"/>
      <c r="N190" s="371"/>
      <c r="O190" s="371"/>
      <c r="P190" s="375" t="s">
        <v>244</v>
      </c>
      <c r="Q190" s="375"/>
      <c r="R190" s="376"/>
      <c r="S190" s="370">
        <f>VLOOKUP(Table2[[#This Row],[Course Title]],'TSD-Data'!$A$1:$E$70,4,FALSE)</f>
        <v>30</v>
      </c>
      <c r="T190" s="377">
        <f>VLOOKUP(Table2[[#This Row],[Course Title]],'TSD-Data'!$A$1:$F$70,6,FALSE)</f>
        <v>16</v>
      </c>
      <c r="U190" s="378">
        <f>VLOOKUP(Table2[[#This Row],[Course Title]],'TSD-Data'!$A$1:$F$70,5,FALSE)</f>
        <v>2</v>
      </c>
      <c r="V190" s="379">
        <v>0</v>
      </c>
      <c r="W190" s="377"/>
      <c r="X190" s="377"/>
      <c r="Y190" s="378"/>
      <c r="Z190" s="378"/>
      <c r="AA190" s="370"/>
      <c r="AB190" s="370"/>
      <c r="AC190" s="370"/>
      <c r="AD190" s="370"/>
      <c r="AE190" s="378">
        <f ca="1">Table2[[#This Row],[End Date]]+2-TODAY()</f>
        <v>262</v>
      </c>
      <c r="AF190" s="370">
        <f>IF(ISBLANK(Table2[[#This Row],[Roster Received by]]),1,0)</f>
        <v>1</v>
      </c>
      <c r="AG190" s="377">
        <f ca="1">IF(Table2[[#This Row],[Start Date]]&gt;TODAY(),1,)</f>
        <v>1</v>
      </c>
      <c r="AH190" s="377">
        <f>IF(ISBLANK(Table2[[#This Row],[Primary Instructor]]),0,1)</f>
        <v>1</v>
      </c>
      <c r="AI190" s="377">
        <f>IF(ISBLANK(Table2[[#This Row],[Instructor 2]]),0,1)</f>
        <v>0</v>
      </c>
      <c r="AJ190" s="377">
        <f>Table2[[#This Row],[Course Length (Hours)]]/(SUM(Table2[[#This Row],[1]:[2]]))</f>
        <v>16</v>
      </c>
      <c r="AK190" s="370"/>
      <c r="AL190" s="388">
        <v>2</v>
      </c>
      <c r="AM190" s="403" t="str">
        <f>VLOOKUP(Table2[[#This Row],[Course Title]],'TSD-Data'!$A$1:$G$70,7,FALSE)</f>
        <v>N1</v>
      </c>
    </row>
    <row r="191" spans="1:39" s="380" customFormat="1" x14ac:dyDescent="0.25">
      <c r="A191" s="413"/>
      <c r="B191" s="369" t="s">
        <v>31</v>
      </c>
      <c r="C191" s="370" t="str">
        <f>VLOOKUP(Table2[[#This Row],[Course Title]],'TSD-Data'!$A$1:$E$70,2,FALSE)</f>
        <v>A-493-0083</v>
      </c>
      <c r="D191" s="370" t="str">
        <f>VLOOKUP(Table2[[#This Row],[Course Title]],'TSD-Data'!$A$1:$E$70,3,FALSE)</f>
        <v>339E</v>
      </c>
      <c r="E191" s="414" t="s">
        <v>157</v>
      </c>
      <c r="F191" s="416">
        <v>46079</v>
      </c>
      <c r="G191" s="416">
        <v>46079</v>
      </c>
      <c r="H191" s="371" t="s">
        <v>752</v>
      </c>
      <c r="I191" s="417">
        <v>0.33333333333333331</v>
      </c>
      <c r="J191" s="417"/>
      <c r="K191" s="416"/>
      <c r="L191" s="416"/>
      <c r="M191" s="416"/>
      <c r="N191" s="416"/>
      <c r="O191" s="416"/>
      <c r="P191" s="418" t="s">
        <v>241</v>
      </c>
      <c r="Q191" s="418"/>
      <c r="R191" s="376"/>
      <c r="S191" s="370">
        <f>VLOOKUP(Table2[[#This Row],[Course Title]],'TSD-Data'!$A$1:$E$70,4,FALSE)</f>
        <v>30</v>
      </c>
      <c r="T191" s="377">
        <f>VLOOKUP(Table2[[#This Row],[Course Title]],'TSD-Data'!$A$1:$F$70,6,FALSE)</f>
        <v>8</v>
      </c>
      <c r="U191" s="378">
        <f>VLOOKUP(Table2[[#This Row],[Course Title]],'TSD-Data'!$A$1:$F$70,5,FALSE)</f>
        <v>1</v>
      </c>
      <c r="V191" s="379">
        <v>54</v>
      </c>
      <c r="W191" s="377"/>
      <c r="X191" s="377"/>
      <c r="Y191" s="420"/>
      <c r="Z191" s="420"/>
      <c r="AA191" s="415"/>
      <c r="AB191" s="415"/>
      <c r="AC191" s="421"/>
      <c r="AD191" s="421"/>
      <c r="AE191" s="420">
        <v>274</v>
      </c>
      <c r="AF191" s="415">
        <v>1</v>
      </c>
      <c r="AG191" s="403">
        <v>1</v>
      </c>
      <c r="AH191" s="403">
        <v>1</v>
      </c>
      <c r="AI191" s="403">
        <v>0</v>
      </c>
      <c r="AJ191" s="403">
        <v>8</v>
      </c>
      <c r="AK191" s="415"/>
      <c r="AL191" s="388">
        <v>2</v>
      </c>
      <c r="AM191" s="403" t="str">
        <f>VLOOKUP(Table2[[#This Row],[Course Title]],'TSD-Data'!$A$1:$G$70,7,FALSE)</f>
        <v>N4</v>
      </c>
    </row>
    <row r="192" spans="1:39" s="380" customFormat="1" x14ac:dyDescent="0.25">
      <c r="A192" s="413"/>
      <c r="B192" s="369" t="s">
        <v>31</v>
      </c>
      <c r="C192" s="370" t="str">
        <f>VLOOKUP(Table2[[#This Row],[Course Title]],'TSD-Data'!$A$1:$E$70,2,FALSE)</f>
        <v>A-493-0083</v>
      </c>
      <c r="D192" s="370" t="str">
        <f>VLOOKUP(Table2[[#This Row],[Course Title]],'TSD-Data'!$A$1:$E$70,3,FALSE)</f>
        <v>339E</v>
      </c>
      <c r="E192" s="414" t="s">
        <v>326</v>
      </c>
      <c r="F192" s="416">
        <v>46080</v>
      </c>
      <c r="G192" s="416">
        <v>46080</v>
      </c>
      <c r="H192" s="371" t="s">
        <v>752</v>
      </c>
      <c r="I192" s="417">
        <v>0.33333333333333331</v>
      </c>
      <c r="J192" s="417"/>
      <c r="K192" s="416"/>
      <c r="L192" s="416"/>
      <c r="M192" s="416"/>
      <c r="N192" s="416"/>
      <c r="O192" s="416"/>
      <c r="P192" s="418" t="s">
        <v>241</v>
      </c>
      <c r="Q192" s="418"/>
      <c r="R192" s="376"/>
      <c r="S192" s="370">
        <f>VLOOKUP(Table2[[#This Row],[Course Title]],'TSD-Data'!$A$1:$E$70,4,FALSE)</f>
        <v>30</v>
      </c>
      <c r="T192" s="377">
        <f>VLOOKUP(Table2[[#This Row],[Course Title]],'TSD-Data'!$A$1:$F$70,6,FALSE)</f>
        <v>8</v>
      </c>
      <c r="U192" s="378">
        <f>VLOOKUP(Table2[[#This Row],[Course Title]],'TSD-Data'!$A$1:$F$70,5,FALSE)</f>
        <v>1</v>
      </c>
      <c r="V192" s="379">
        <v>35</v>
      </c>
      <c r="W192" s="377"/>
      <c r="X192" s="377"/>
      <c r="Y192" s="420"/>
      <c r="Z192" s="420"/>
      <c r="AA192" s="415"/>
      <c r="AB192" s="415"/>
      <c r="AC192" s="421"/>
      <c r="AD192" s="421"/>
      <c r="AE192" s="420">
        <v>275</v>
      </c>
      <c r="AF192" s="415">
        <v>1</v>
      </c>
      <c r="AG192" s="403">
        <v>1</v>
      </c>
      <c r="AH192" s="403">
        <v>1</v>
      </c>
      <c r="AI192" s="403">
        <v>0</v>
      </c>
      <c r="AJ192" s="403">
        <v>8</v>
      </c>
      <c r="AK192" s="415"/>
      <c r="AL192" s="388">
        <v>2</v>
      </c>
      <c r="AM192" s="403" t="str">
        <f>VLOOKUP(Table2[[#This Row],[Course Title]],'TSD-Data'!$A$1:$G$70,7,FALSE)</f>
        <v>N4</v>
      </c>
    </row>
    <row r="193" spans="1:39" s="380" customFormat="1" x14ac:dyDescent="0.25">
      <c r="A193" s="368"/>
      <c r="B193" s="435" t="s">
        <v>45</v>
      </c>
      <c r="C193" s="370" t="str">
        <f>VLOOKUP(Table2[[#This Row],[Course Title]],'TSD-Data'!$A$1:$E$70,2,FALSE)</f>
        <v>A-493-0069</v>
      </c>
      <c r="D193" s="370" t="str">
        <f>VLOOKUP(Table2[[#This Row],[Course Title]],'TSD-Data'!$A$1:$E$70,3,FALSE)</f>
        <v>450U</v>
      </c>
      <c r="E193" s="369" t="s">
        <v>174</v>
      </c>
      <c r="F193" s="391">
        <v>46083</v>
      </c>
      <c r="G193" s="391">
        <v>46087</v>
      </c>
      <c r="H193" s="371" t="s">
        <v>752</v>
      </c>
      <c r="I193" s="372">
        <v>0.33333333333333331</v>
      </c>
      <c r="J193" s="372"/>
      <c r="K193" s="371"/>
      <c r="L193" s="371"/>
      <c r="M193" s="371"/>
      <c r="N193" s="371"/>
      <c r="O193" s="371"/>
      <c r="P193" s="375" t="s">
        <v>293</v>
      </c>
      <c r="Q193" s="375" t="s">
        <v>292</v>
      </c>
      <c r="R193" s="376"/>
      <c r="S193" s="370">
        <f>VLOOKUP(Table2[[#This Row],[Course Title]],'TSD-Data'!$A$1:$E$70,4,FALSE)</f>
        <v>25</v>
      </c>
      <c r="T193" s="377">
        <f>VLOOKUP(Table2[[#This Row],[Course Title]],'TSD-Data'!$A$1:$F$70,6,FALSE)</f>
        <v>40</v>
      </c>
      <c r="U193" s="378">
        <f>VLOOKUP(Table2[[#This Row],[Course Title]],'TSD-Data'!$A$1:$F$70,5,FALSE)</f>
        <v>5</v>
      </c>
      <c r="V193" s="379">
        <v>27</v>
      </c>
      <c r="W193" s="377"/>
      <c r="X193" s="377"/>
      <c r="Y193" s="378"/>
      <c r="Z193" s="378"/>
      <c r="AA193" s="370"/>
      <c r="AB193" s="370"/>
      <c r="AC193" s="370"/>
      <c r="AD193" s="370"/>
      <c r="AE193" s="378">
        <f ca="1">Table2[[#This Row],[End Date]]+2-TODAY()</f>
        <v>271</v>
      </c>
      <c r="AF193" s="370">
        <f>IF(ISBLANK(Table2[[#This Row],[Roster Received by]]),1,0)</f>
        <v>1</v>
      </c>
      <c r="AG193" s="377">
        <f ca="1">IF(Table2[[#This Row],[Start Date]]&gt;TODAY(),1,)</f>
        <v>1</v>
      </c>
      <c r="AH193" s="377">
        <f>IF(ISBLANK(Table2[[#This Row],[Primary Instructor]]),0,1)</f>
        <v>1</v>
      </c>
      <c r="AI193" s="377">
        <f>IF(ISBLANK(Table2[[#This Row],[Instructor 2]]),0,1)</f>
        <v>1</v>
      </c>
      <c r="AJ193" s="377">
        <f>Table2[[#This Row],[Course Length (Hours)]]/(SUM(Table2[[#This Row],[1]:[2]]))</f>
        <v>20</v>
      </c>
      <c r="AK193" s="370"/>
      <c r="AL193" s="388">
        <v>2</v>
      </c>
      <c r="AM193" s="403" t="str">
        <f>VLOOKUP(Table2[[#This Row],[Course Title]],'TSD-Data'!$A$1:$G$70,7,FALSE)</f>
        <v>N3</v>
      </c>
    </row>
    <row r="194" spans="1:39" s="380" customFormat="1" x14ac:dyDescent="0.25">
      <c r="A194" s="368"/>
      <c r="B194" s="369" t="s">
        <v>120</v>
      </c>
      <c r="C194" s="370" t="str">
        <f>VLOOKUP(Table2[[#This Row],[Course Title]],'TSD-Data'!$A$1:$E$70,2,FALSE)</f>
        <v>A-322-2604</v>
      </c>
      <c r="D194" s="370" t="str">
        <f>VLOOKUP(Table2[[#This Row],[Course Title]],'TSD-Data'!$A$1:$E$70,3,FALSE)</f>
        <v>10ZZ</v>
      </c>
      <c r="E194" s="369" t="s">
        <v>86</v>
      </c>
      <c r="F194" s="371">
        <v>46083</v>
      </c>
      <c r="G194" s="371">
        <v>46085</v>
      </c>
      <c r="H194" s="371" t="s">
        <v>752</v>
      </c>
      <c r="I194" s="372"/>
      <c r="J194" s="399">
        <v>0.5</v>
      </c>
      <c r="K194" s="381">
        <v>0.375</v>
      </c>
      <c r="L194" s="381">
        <v>0.79166666666666663</v>
      </c>
      <c r="M194" s="381">
        <v>0.75</v>
      </c>
      <c r="N194" s="381">
        <v>0.25</v>
      </c>
      <c r="O194" s="381">
        <v>4.1666666666666664E-2</v>
      </c>
      <c r="P194" s="375" t="s">
        <v>248</v>
      </c>
      <c r="Q194" s="375"/>
      <c r="R194" s="376"/>
      <c r="S194" s="370">
        <f>VLOOKUP(Table2[[#This Row],[Course Title]],'TSD-Data'!$A$1:$E$70,4,FALSE)</f>
        <v>45</v>
      </c>
      <c r="T194" s="377">
        <f>VLOOKUP(Table2[[#This Row],[Course Title]],'TSD-Data'!$A$1:$F$70,6,FALSE)</f>
        <v>24</v>
      </c>
      <c r="U194" s="378">
        <f>VLOOKUP(Table2[[#This Row],[Course Title]],'TSD-Data'!$A$1:$F$70,5,FALSE)</f>
        <v>3</v>
      </c>
      <c r="V194" s="379">
        <v>663</v>
      </c>
      <c r="W194" s="377"/>
      <c r="X194" s="377"/>
      <c r="Y194" s="378"/>
      <c r="Z194" s="378"/>
      <c r="AA194" s="370"/>
      <c r="AB194" s="370"/>
      <c r="AC194" s="370"/>
      <c r="AD194" s="370"/>
      <c r="AE194" s="378">
        <f ca="1">Table2[[#This Row],[End Date]]+2-TODAY()</f>
        <v>269</v>
      </c>
      <c r="AF194" s="370">
        <f>IF(ISBLANK(Table2[[#This Row],[Roster Received by]]),1,0)</f>
        <v>1</v>
      </c>
      <c r="AG194" s="377">
        <f ca="1">IF(Table2[[#This Row],[Start Date]]&gt;TODAY(),1,)</f>
        <v>1</v>
      </c>
      <c r="AH194" s="377">
        <f>IF(ISBLANK(Table2[[#This Row],[Primary Instructor]]),0,1)</f>
        <v>1</v>
      </c>
      <c r="AI194" s="377">
        <f>IF(ISBLANK(Table2[[#This Row],[Instructor 2]]),0,1)</f>
        <v>0</v>
      </c>
      <c r="AJ194" s="377">
        <f>Table2[[#This Row],[Course Length (Hours)]]/(SUM(Table2[[#This Row],[1]:[2]]))</f>
        <v>24</v>
      </c>
      <c r="AK194" s="370"/>
      <c r="AL194" s="388">
        <v>2</v>
      </c>
      <c r="AM194" s="403" t="str">
        <f>VLOOKUP(Table2[[#This Row],[Course Title]],'TSD-Data'!$A$1:$G$70,7,FALSE)</f>
        <v>N3</v>
      </c>
    </row>
    <row r="195" spans="1:39" s="380" customFormat="1" x14ac:dyDescent="0.25">
      <c r="A195" s="413"/>
      <c r="B195" s="369" t="s">
        <v>29</v>
      </c>
      <c r="C195" s="370" t="str">
        <f>VLOOKUP(Table2[[#This Row],[Course Title]],'TSD-Data'!$A$1:$E$70,2,FALSE)</f>
        <v>A-493-0077</v>
      </c>
      <c r="D195" s="370" t="str">
        <f>VLOOKUP(Table2[[#This Row],[Course Title]],'TSD-Data'!$A$1:$E$70,3,FALSE)</f>
        <v>0381</v>
      </c>
      <c r="E195" s="414" t="s">
        <v>281</v>
      </c>
      <c r="F195" s="416">
        <v>46083</v>
      </c>
      <c r="G195" s="416">
        <v>46085</v>
      </c>
      <c r="H195" s="371" t="s">
        <v>752</v>
      </c>
      <c r="I195" s="417">
        <v>0.33333333333333331</v>
      </c>
      <c r="J195" s="417"/>
      <c r="K195" s="416"/>
      <c r="L195" s="416"/>
      <c r="M195" s="416"/>
      <c r="N195" s="416"/>
      <c r="O195" s="416"/>
      <c r="P195" s="418" t="s">
        <v>241</v>
      </c>
      <c r="Q195" s="418"/>
      <c r="R195" s="376"/>
      <c r="S195" s="370">
        <f>VLOOKUP(Table2[[#This Row],[Course Title]],'TSD-Data'!$A$1:$E$70,4,FALSE)</f>
        <v>25</v>
      </c>
      <c r="T195" s="377">
        <f>VLOOKUP(Table2[[#This Row],[Course Title]],'TSD-Data'!$A$1:$F$70,6,FALSE)</f>
        <v>24</v>
      </c>
      <c r="U195" s="378">
        <f>VLOOKUP(Table2[[#This Row],[Course Title]],'TSD-Data'!$A$1:$F$70,5,FALSE)</f>
        <v>3</v>
      </c>
      <c r="V195" s="379">
        <v>35</v>
      </c>
      <c r="W195" s="377"/>
      <c r="X195" s="377"/>
      <c r="Y195" s="420"/>
      <c r="Z195" s="420"/>
      <c r="AA195" s="415"/>
      <c r="AB195" s="415"/>
      <c r="AC195" s="421"/>
      <c r="AD195" s="421"/>
      <c r="AE195" s="420">
        <v>280</v>
      </c>
      <c r="AF195" s="415">
        <v>1</v>
      </c>
      <c r="AG195" s="403">
        <v>1</v>
      </c>
      <c r="AH195" s="403">
        <v>1</v>
      </c>
      <c r="AI195" s="403">
        <v>0</v>
      </c>
      <c r="AJ195" s="403">
        <v>24</v>
      </c>
      <c r="AK195" s="415"/>
      <c r="AL195" s="388">
        <v>2</v>
      </c>
      <c r="AM195" s="403" t="str">
        <f>VLOOKUP(Table2[[#This Row],[Course Title]],'TSD-Data'!$A$1:$G$70,7,FALSE)</f>
        <v>N4</v>
      </c>
    </row>
    <row r="196" spans="1:39" s="380" customFormat="1" x14ac:dyDescent="0.25">
      <c r="A196" s="368"/>
      <c r="B196" s="369" t="s">
        <v>53</v>
      </c>
      <c r="C196" s="370" t="str">
        <f>VLOOKUP(Table2[[#This Row],[Course Title]],'TSD-Data'!$A$1:$E$70,2,FALSE)</f>
        <v>A-493-0072</v>
      </c>
      <c r="D196" s="370" t="str">
        <f>VLOOKUP(Table2[[#This Row],[Course Title]],'TSD-Data'!$A$1:$E$70,3,FALSE)</f>
        <v>713U</v>
      </c>
      <c r="E196" s="369" t="s">
        <v>162</v>
      </c>
      <c r="F196" s="371">
        <v>46083</v>
      </c>
      <c r="G196" s="371">
        <v>46087</v>
      </c>
      <c r="H196" s="371" t="s">
        <v>752</v>
      </c>
      <c r="I196" s="372">
        <v>0.33333333333333331</v>
      </c>
      <c r="J196" s="372"/>
      <c r="K196" s="371"/>
      <c r="L196" s="371"/>
      <c r="M196" s="371"/>
      <c r="N196" s="371"/>
      <c r="O196" s="371"/>
      <c r="P196" s="375" t="s">
        <v>297</v>
      </c>
      <c r="Q196" s="375"/>
      <c r="R196" s="376" t="s">
        <v>244</v>
      </c>
      <c r="S196" s="370">
        <f>VLOOKUP(Table2[[#This Row],[Course Title]],'TSD-Data'!$A$1:$E$70,4,FALSE)</f>
        <v>30</v>
      </c>
      <c r="T196" s="377">
        <f>VLOOKUP(Table2[[#This Row],[Course Title]],'TSD-Data'!$A$1:$F$70,6,FALSE)</f>
        <v>40</v>
      </c>
      <c r="U196" s="378">
        <f>VLOOKUP(Table2[[#This Row],[Course Title]],'TSD-Data'!$A$1:$F$70,5,FALSE)</f>
        <v>5</v>
      </c>
      <c r="V196" s="379">
        <v>36</v>
      </c>
      <c r="W196" s="377"/>
      <c r="X196" s="377"/>
      <c r="Y196" s="378"/>
      <c r="Z196" s="378"/>
      <c r="AA196" s="370"/>
      <c r="AB196" s="370"/>
      <c r="AC196" s="370"/>
      <c r="AD196" s="370"/>
      <c r="AE196" s="378">
        <f ca="1">Table2[[#This Row],[End Date]]+2-TODAY()</f>
        <v>271</v>
      </c>
      <c r="AF196" s="370">
        <f>IF(ISBLANK(Table2[[#This Row],[Roster Received by]]),1,0)</f>
        <v>1</v>
      </c>
      <c r="AG196" s="377">
        <f ca="1">IF(Table2[[#This Row],[Start Date]]&gt;TODAY(),1,)</f>
        <v>1</v>
      </c>
      <c r="AH196" s="377">
        <f>IF(ISBLANK(Table2[[#This Row],[Primary Instructor]]),0,1)</f>
        <v>1</v>
      </c>
      <c r="AI196" s="377">
        <f>IF(ISBLANK(Table2[[#This Row],[Instructor 2]]),0,1)</f>
        <v>0</v>
      </c>
      <c r="AJ196" s="377">
        <f>Table2[[#This Row],[Course Length (Hours)]]/(SUM(Table2[[#This Row],[1]:[2]]))</f>
        <v>40</v>
      </c>
      <c r="AK196" s="370"/>
      <c r="AL196" s="388">
        <v>2</v>
      </c>
      <c r="AM196" s="403" t="str">
        <f>VLOOKUP(Table2[[#This Row],[Course Title]],'TSD-Data'!$A$1:$G$70,7,FALSE)</f>
        <v>N3</v>
      </c>
    </row>
    <row r="197" spans="1:39" s="380" customFormat="1" x14ac:dyDescent="0.25">
      <c r="A197" s="368"/>
      <c r="B197" s="369" t="s">
        <v>57</v>
      </c>
      <c r="C197" s="370" t="str">
        <f>VLOOKUP(Table2[[#This Row],[Course Title]],'TSD-Data'!$A$1:$E$70,2,FALSE)</f>
        <v>A-493-0099</v>
      </c>
      <c r="D197" s="370" t="str">
        <f>VLOOKUP(Table2[[#This Row],[Course Title]],'TSD-Data'!$A$1:$E$70,3,FALSE)</f>
        <v>12JW</v>
      </c>
      <c r="E197" s="369" t="s">
        <v>86</v>
      </c>
      <c r="F197" s="371">
        <v>46084</v>
      </c>
      <c r="G197" s="371">
        <v>46086</v>
      </c>
      <c r="H197" s="371" t="s">
        <v>752</v>
      </c>
      <c r="I197" s="372"/>
      <c r="J197" s="381">
        <v>0.5</v>
      </c>
      <c r="K197" s="381">
        <v>0.375</v>
      </c>
      <c r="L197" s="381">
        <v>0.83333333333333337</v>
      </c>
      <c r="M197" s="381">
        <v>0.75</v>
      </c>
      <c r="N197" s="381">
        <v>0.29166666666666669</v>
      </c>
      <c r="O197" s="381">
        <v>8.3333333333333329E-2</v>
      </c>
      <c r="P197" s="375" t="s">
        <v>277</v>
      </c>
      <c r="Q197" s="375"/>
      <c r="R197" s="376"/>
      <c r="S197" s="370">
        <f>VLOOKUP(Table2[[#This Row],[Course Title]],'TSD-Data'!$A$1:$E$70,4,FALSE)</f>
        <v>45</v>
      </c>
      <c r="T197" s="377">
        <f>VLOOKUP(Table2[[#This Row],[Course Title]],'TSD-Data'!$A$1:$F$70,6,FALSE)</f>
        <v>24</v>
      </c>
      <c r="U197" s="378">
        <f>VLOOKUP(Table2[[#This Row],[Course Title]],'TSD-Data'!$A$1:$F$70,5,FALSE)</f>
        <v>3</v>
      </c>
      <c r="V197" s="379">
        <v>934</v>
      </c>
      <c r="W197" s="377"/>
      <c r="X197" s="377"/>
      <c r="Y197" s="378"/>
      <c r="Z197" s="378"/>
      <c r="AA197" s="370"/>
      <c r="AB197" s="370"/>
      <c r="AC197" s="370"/>
      <c r="AD197" s="370"/>
      <c r="AE197" s="378">
        <f ca="1">Table2[[#This Row],[End Date]]+2-TODAY()</f>
        <v>270</v>
      </c>
      <c r="AF197" s="370">
        <f>IF(ISBLANK(Table2[[#This Row],[Roster Received by]]),1,0)</f>
        <v>1</v>
      </c>
      <c r="AG197" s="377">
        <f ca="1">IF(Table2[[#This Row],[Start Date]]&gt;TODAY(),1,)</f>
        <v>1</v>
      </c>
      <c r="AH197" s="377">
        <f>IF(ISBLANK(Table2[[#This Row],[Primary Instructor]]),0,1)</f>
        <v>1</v>
      </c>
      <c r="AI197" s="377">
        <f>IF(ISBLANK(Table2[[#This Row],[Instructor 2]]),0,1)</f>
        <v>0</v>
      </c>
      <c r="AJ197" s="377">
        <f>Table2[[#This Row],[Course Length (Hours)]]/(SUM(Table2[[#This Row],[1]:[2]]))</f>
        <v>24</v>
      </c>
      <c r="AK197" s="370"/>
      <c r="AL197" s="388">
        <v>2</v>
      </c>
      <c r="AM197" s="403" t="str">
        <f>VLOOKUP(Table2[[#This Row],[Course Title]],'TSD-Data'!$A$1:$G$70,7,FALSE)</f>
        <v>N5</v>
      </c>
    </row>
    <row r="198" spans="1:39" s="380" customFormat="1" x14ac:dyDescent="0.25">
      <c r="A198" s="368"/>
      <c r="B198" s="369" t="s">
        <v>334</v>
      </c>
      <c r="C198" s="370" t="str">
        <f>VLOOKUP(Table2[[#This Row],[Course Title]],'TSD-Data'!$A$1:$E$70,2,FALSE)</f>
        <v>A-493-2099</v>
      </c>
      <c r="D198" s="370" t="str">
        <f>VLOOKUP(Table2[[#This Row],[Course Title]],'TSD-Data'!$A$1:$E$70,3,FALSE)</f>
        <v>438G</v>
      </c>
      <c r="E198" s="369" t="s">
        <v>162</v>
      </c>
      <c r="F198" s="371">
        <v>46084</v>
      </c>
      <c r="G198" s="371">
        <v>46085</v>
      </c>
      <c r="H198" s="371" t="s">
        <v>752</v>
      </c>
      <c r="I198" s="372">
        <v>0.33333333333333331</v>
      </c>
      <c r="J198" s="372"/>
      <c r="K198" s="371"/>
      <c r="L198" s="371"/>
      <c r="M198" s="371"/>
      <c r="N198" s="371"/>
      <c r="O198" s="371"/>
      <c r="P198" s="375" t="s">
        <v>244</v>
      </c>
      <c r="Q198" s="375"/>
      <c r="R198" s="376"/>
      <c r="S198" s="370">
        <f>VLOOKUP(Table2[[#This Row],[Course Title]],'TSD-Data'!$A$1:$E$70,4,FALSE)</f>
        <v>30</v>
      </c>
      <c r="T198" s="377">
        <f>VLOOKUP(Table2[[#This Row],[Course Title]],'TSD-Data'!$A$1:$F$70,6,FALSE)</f>
        <v>16</v>
      </c>
      <c r="U198" s="378">
        <f>VLOOKUP(Table2[[#This Row],[Course Title]],'TSD-Data'!$A$1:$F$70,5,FALSE)</f>
        <v>2</v>
      </c>
      <c r="V198" s="379">
        <v>0</v>
      </c>
      <c r="W198" s="377"/>
      <c r="X198" s="377"/>
      <c r="Y198" s="378"/>
      <c r="Z198" s="378"/>
      <c r="AA198" s="370"/>
      <c r="AB198" s="370"/>
      <c r="AC198" s="370"/>
      <c r="AD198" s="370"/>
      <c r="AE198" s="378">
        <f ca="1">Table2[[#This Row],[End Date]]+2-TODAY()</f>
        <v>269</v>
      </c>
      <c r="AF198" s="370">
        <f>IF(ISBLANK(Table2[[#This Row],[Roster Received by]]),1,0)</f>
        <v>1</v>
      </c>
      <c r="AG198" s="377">
        <f ca="1">IF(Table2[[#This Row],[Start Date]]&gt;TODAY(),1,)</f>
        <v>1</v>
      </c>
      <c r="AH198" s="377">
        <f>IF(ISBLANK(Table2[[#This Row],[Primary Instructor]]),0,1)</f>
        <v>1</v>
      </c>
      <c r="AI198" s="377">
        <f>IF(ISBLANK(Table2[[#This Row],[Instructor 2]]),0,1)</f>
        <v>0</v>
      </c>
      <c r="AJ198" s="377">
        <f>Table2[[#This Row],[Course Length (Hours)]]/(SUM(Table2[[#This Row],[1]:[2]]))</f>
        <v>16</v>
      </c>
      <c r="AK198" s="370"/>
      <c r="AL198" s="388">
        <v>2</v>
      </c>
      <c r="AM198" s="403" t="str">
        <f>VLOOKUP(Table2[[#This Row],[Course Title]],'TSD-Data'!$A$1:$G$70,7,FALSE)</f>
        <v>N1</v>
      </c>
    </row>
    <row r="199" spans="1:39" s="380" customFormat="1" x14ac:dyDescent="0.25">
      <c r="A199" s="413"/>
      <c r="B199" s="369" t="s">
        <v>31</v>
      </c>
      <c r="C199" s="370" t="str">
        <f>VLOOKUP(Table2[[#This Row],[Course Title]],'TSD-Data'!$A$1:$E$70,2,FALSE)</f>
        <v>A-493-0083</v>
      </c>
      <c r="D199" s="370" t="str">
        <f>VLOOKUP(Table2[[#This Row],[Course Title]],'TSD-Data'!$A$1:$E$70,3,FALSE)</f>
        <v>339E</v>
      </c>
      <c r="E199" s="414" t="s">
        <v>281</v>
      </c>
      <c r="F199" s="416">
        <v>46086</v>
      </c>
      <c r="G199" s="416">
        <v>46086</v>
      </c>
      <c r="H199" s="371" t="s">
        <v>752</v>
      </c>
      <c r="I199" s="417">
        <v>0.33333333333333331</v>
      </c>
      <c r="J199" s="417"/>
      <c r="K199" s="416"/>
      <c r="L199" s="416"/>
      <c r="M199" s="416"/>
      <c r="N199" s="416"/>
      <c r="O199" s="416"/>
      <c r="P199" s="418" t="s">
        <v>241</v>
      </c>
      <c r="Q199" s="418"/>
      <c r="R199" s="376"/>
      <c r="S199" s="370">
        <f>VLOOKUP(Table2[[#This Row],[Course Title]],'TSD-Data'!$A$1:$E$70,4,FALSE)</f>
        <v>30</v>
      </c>
      <c r="T199" s="377">
        <f>VLOOKUP(Table2[[#This Row],[Course Title]],'TSD-Data'!$A$1:$F$70,6,FALSE)</f>
        <v>8</v>
      </c>
      <c r="U199" s="378">
        <f>VLOOKUP(Table2[[#This Row],[Course Title]],'TSD-Data'!$A$1:$F$70,5,FALSE)</f>
        <v>1</v>
      </c>
      <c r="V199" s="379">
        <v>60</v>
      </c>
      <c r="W199" s="377"/>
      <c r="X199" s="377"/>
      <c r="Y199" s="420"/>
      <c r="Z199" s="420"/>
      <c r="AA199" s="415"/>
      <c r="AB199" s="415"/>
      <c r="AC199" s="421"/>
      <c r="AD199" s="421"/>
      <c r="AE199" s="420">
        <v>281</v>
      </c>
      <c r="AF199" s="415">
        <v>1</v>
      </c>
      <c r="AG199" s="403">
        <v>1</v>
      </c>
      <c r="AH199" s="403">
        <v>1</v>
      </c>
      <c r="AI199" s="403">
        <v>0</v>
      </c>
      <c r="AJ199" s="403">
        <v>8</v>
      </c>
      <c r="AK199" s="415"/>
      <c r="AL199" s="388">
        <v>2</v>
      </c>
      <c r="AM199" s="403" t="str">
        <f>VLOOKUP(Table2[[#This Row],[Course Title]],'TSD-Data'!$A$1:$G$70,7,FALSE)</f>
        <v>N4</v>
      </c>
    </row>
    <row r="200" spans="1:39" s="380" customFormat="1" x14ac:dyDescent="0.25">
      <c r="A200" s="369"/>
      <c r="B200" s="435" t="s">
        <v>89</v>
      </c>
      <c r="C200" s="370" t="str">
        <f>VLOOKUP(Table2[[#This Row],[Course Title]],'TSD-Data'!$A$1:$E$70,2,FALSE)</f>
        <v>A-493-0014</v>
      </c>
      <c r="D200" s="370">
        <f>VLOOKUP(Table2[[#This Row],[Course Title]],'TSD-Data'!$A$1:$E$70,3,FALSE)</f>
        <v>3878</v>
      </c>
      <c r="E200" s="369" t="s">
        <v>174</v>
      </c>
      <c r="F200" s="391">
        <v>46090</v>
      </c>
      <c r="G200" s="391">
        <v>46092</v>
      </c>
      <c r="H200" s="371" t="s">
        <v>752</v>
      </c>
      <c r="I200" s="372">
        <v>0.33333333333333331</v>
      </c>
      <c r="J200" s="392"/>
      <c r="K200" s="371"/>
      <c r="L200" s="371"/>
      <c r="M200" s="371"/>
      <c r="N200" s="371"/>
      <c r="O200" s="371"/>
      <c r="P200" s="375" t="s">
        <v>293</v>
      </c>
      <c r="Q200" s="375" t="s">
        <v>292</v>
      </c>
      <c r="R200" s="375"/>
      <c r="S200" s="370">
        <f>VLOOKUP(Table2[[#This Row],[Course Title]],'TSD-Data'!$A$1:$E$70,4,FALSE)</f>
        <v>25</v>
      </c>
      <c r="T200" s="377">
        <f>VLOOKUP(Table2[[#This Row],[Course Title]],'TSD-Data'!$A$1:$F$70,6,FALSE)</f>
        <v>24</v>
      </c>
      <c r="U200" s="378">
        <f>VLOOKUP(Table2[[#This Row],[Course Title]],'TSD-Data'!$A$1:$F$70,5,FALSE)</f>
        <v>3</v>
      </c>
      <c r="V200" s="379">
        <v>35</v>
      </c>
      <c r="W200" s="377"/>
      <c r="X200" s="377"/>
      <c r="Y200" s="379"/>
      <c r="Z200" s="379"/>
      <c r="AA200" s="377"/>
      <c r="AB200" s="377"/>
      <c r="AC200" s="377"/>
      <c r="AD200" s="377"/>
      <c r="AE200" s="379">
        <f ca="1">Table2[[#This Row],[End Date]]+2-TODAY()</f>
        <v>276</v>
      </c>
      <c r="AF200" s="377">
        <f>IF(ISBLANK(Table2[[#This Row],[Roster Received by]]),1,0)</f>
        <v>1</v>
      </c>
      <c r="AG200" s="377">
        <f ca="1">IF(Table2[[#This Row],[Start Date]]&gt;TODAY(),1,)</f>
        <v>1</v>
      </c>
      <c r="AH200" s="377">
        <f>IF(ISBLANK(Table2[[#This Row],[Primary Instructor]]),0,1)</f>
        <v>1</v>
      </c>
      <c r="AI200" s="377">
        <f>IF(ISBLANK(Table2[[#This Row],[Instructor 2]]),0,1)</f>
        <v>1</v>
      </c>
      <c r="AJ200" s="377">
        <f>Table2[[#This Row],[Course Length (Hours)]]/(SUM(Table2[[#This Row],[1]:[2]]))</f>
        <v>12</v>
      </c>
      <c r="AK200" s="377"/>
      <c r="AL200" s="388">
        <v>2</v>
      </c>
      <c r="AM200" s="403" t="str">
        <f>VLOOKUP(Table2[[#This Row],[Course Title]],'TSD-Data'!$A$1:$G$70,7,FALSE)</f>
        <v>N3</v>
      </c>
    </row>
    <row r="201" spans="1:39" s="380" customFormat="1" x14ac:dyDescent="0.25">
      <c r="A201" s="368"/>
      <c r="B201" s="432" t="s">
        <v>55</v>
      </c>
      <c r="C201" s="370" t="str">
        <f>VLOOKUP(Table2[[#This Row],[Course Title]],'TSD-Data'!$A$1:$E$70,2,FALSE)</f>
        <v>A-493-0103</v>
      </c>
      <c r="D201" s="370" t="str">
        <f>VLOOKUP(Table2[[#This Row],[Course Title]],'TSD-Data'!$A$1:$E$70,3,FALSE)</f>
        <v>12JY</v>
      </c>
      <c r="E201" s="369" t="s">
        <v>161</v>
      </c>
      <c r="F201" s="371">
        <v>46090</v>
      </c>
      <c r="G201" s="371">
        <v>46094</v>
      </c>
      <c r="H201" s="371" t="s">
        <v>752</v>
      </c>
      <c r="I201" s="372">
        <v>0.33333333333333331</v>
      </c>
      <c r="J201" s="372"/>
      <c r="K201" s="371"/>
      <c r="L201" s="371"/>
      <c r="M201" s="371"/>
      <c r="N201" s="371"/>
      <c r="O201" s="371"/>
      <c r="P201" s="375" t="s">
        <v>289</v>
      </c>
      <c r="Q201" s="375"/>
      <c r="R201" s="376"/>
      <c r="S201" s="370">
        <f>VLOOKUP(Table2[[#This Row],[Course Title]],'TSD-Data'!$A$1:$E$70,4,FALSE)</f>
        <v>25</v>
      </c>
      <c r="T201" s="377">
        <f>VLOOKUP(Table2[[#This Row],[Course Title]],'TSD-Data'!$A$1:$F$70,6,FALSE)</f>
        <v>40</v>
      </c>
      <c r="U201" s="378">
        <f>VLOOKUP(Table2[[#This Row],[Course Title]],'TSD-Data'!$A$1:$F$70,5,FALSE)</f>
        <v>5</v>
      </c>
      <c r="V201" s="379">
        <v>52</v>
      </c>
      <c r="W201" s="377"/>
      <c r="X201" s="377"/>
      <c r="Y201" s="378"/>
      <c r="Z201" s="378"/>
      <c r="AA201" s="370"/>
      <c r="AB201" s="370"/>
      <c r="AC201" s="370"/>
      <c r="AD201" s="370"/>
      <c r="AE201" s="378">
        <f ca="1">Table2[[#This Row],[End Date]]+2-TODAY()</f>
        <v>278</v>
      </c>
      <c r="AF201" s="370">
        <f>IF(ISBLANK(Table2[[#This Row],[Roster Received by]]),1,0)</f>
        <v>1</v>
      </c>
      <c r="AG201" s="377">
        <f ca="1">IF(Table2[[#This Row],[Start Date]]&gt;TODAY(),1,)</f>
        <v>1</v>
      </c>
      <c r="AH201" s="377">
        <f>IF(ISBLANK(Table2[[#This Row],[Primary Instructor]]),0,1)</f>
        <v>1</v>
      </c>
      <c r="AI201" s="377">
        <f>IF(ISBLANK(Table2[[#This Row],[Instructor 2]]),0,1)</f>
        <v>0</v>
      </c>
      <c r="AJ201" s="377">
        <f>Table2[[#This Row],[Course Length (Hours)]]/(SUM(Table2[[#This Row],[1]:[2]]))</f>
        <v>40</v>
      </c>
      <c r="AK201" s="370"/>
      <c r="AL201" s="388">
        <v>2</v>
      </c>
      <c r="AM201" s="403" t="str">
        <f>VLOOKUP(Table2[[#This Row],[Course Title]],'TSD-Data'!$A$1:$G$70,7,FALSE)</f>
        <v>N5</v>
      </c>
    </row>
    <row r="202" spans="1:39" s="380" customFormat="1" x14ac:dyDescent="0.25">
      <c r="A202" s="427" t="s">
        <v>710</v>
      </c>
      <c r="B202" s="401" t="s">
        <v>17</v>
      </c>
      <c r="C202" s="370" t="str">
        <f>VLOOKUP(Table2[[#This Row],[Course Title]],'TSD-Data'!$A$1:$E$70,2,FALSE)</f>
        <v>A-493-0012</v>
      </c>
      <c r="D202" s="370">
        <f>VLOOKUP(Table2[[#This Row],[Course Title]],'TSD-Data'!$A$1:$E$70,3,FALSE)</f>
        <v>3682</v>
      </c>
      <c r="E202" s="401" t="s">
        <v>167</v>
      </c>
      <c r="F202" s="426">
        <v>46090</v>
      </c>
      <c r="G202" s="426">
        <v>46094</v>
      </c>
      <c r="H202" s="426" t="s">
        <v>753</v>
      </c>
      <c r="I202" s="372">
        <v>0.33333333333333331</v>
      </c>
      <c r="J202" s="372"/>
      <c r="K202" s="371"/>
      <c r="L202" s="371"/>
      <c r="M202" s="428"/>
      <c r="N202" s="371"/>
      <c r="O202" s="371"/>
      <c r="P202" s="375" t="s">
        <v>241</v>
      </c>
      <c r="Q202" s="375"/>
      <c r="R202" s="376"/>
      <c r="S202" s="370">
        <f>VLOOKUP(Table2[[#This Row],[Course Title]],'TSD-Data'!$A$1:$E$70,4,FALSE)</f>
        <v>40</v>
      </c>
      <c r="T202" s="377">
        <f>VLOOKUP(Table2[[#This Row],[Course Title]],'TSD-Data'!$A$1:$F$70,6,FALSE)</f>
        <v>40</v>
      </c>
      <c r="U202" s="378">
        <f>VLOOKUP(Table2[[#This Row],[Course Title]],'TSD-Data'!$A$1:$F$70,5,FALSE)</f>
        <v>5</v>
      </c>
      <c r="V202" s="377">
        <v>30</v>
      </c>
      <c r="W202" s="377"/>
      <c r="X202" s="377"/>
      <c r="Y202" s="378"/>
      <c r="Z202" s="378"/>
      <c r="AA202" s="370"/>
      <c r="AB202" s="370"/>
      <c r="AC202" s="370"/>
      <c r="AD202" s="370"/>
      <c r="AE202" s="378" t="e">
        <v>#REF!</v>
      </c>
      <c r="AF202" s="370">
        <v>0</v>
      </c>
      <c r="AG202" s="377" t="e">
        <v>#REF!</v>
      </c>
      <c r="AH202" s="377">
        <v>1</v>
      </c>
      <c r="AI202" s="377">
        <v>1</v>
      </c>
      <c r="AJ202" s="377" t="e">
        <v>#VALUE!</v>
      </c>
      <c r="AK202" s="370"/>
      <c r="AL202" s="388">
        <v>2</v>
      </c>
      <c r="AM202" s="403" t="str">
        <f>VLOOKUP(Table2[[#This Row],[Course Title]],'TSD-Data'!$A$1:$G$70,7,FALSE)</f>
        <v>N4</v>
      </c>
    </row>
    <row r="203" spans="1:39" s="380" customFormat="1" x14ac:dyDescent="0.25">
      <c r="A203" s="425" t="s">
        <v>711</v>
      </c>
      <c r="B203" s="401" t="s">
        <v>17</v>
      </c>
      <c r="C203" s="370" t="str">
        <f>VLOOKUP(Table2[[#This Row],[Course Title]],'TSD-Data'!$A$1:$E$70,2,FALSE)</f>
        <v>A-493-0012</v>
      </c>
      <c r="D203" s="370">
        <f>VLOOKUP(Table2[[#This Row],[Course Title]],'TSD-Data'!$A$1:$E$70,3,FALSE)</f>
        <v>3682</v>
      </c>
      <c r="E203" s="401" t="s">
        <v>414</v>
      </c>
      <c r="F203" s="426">
        <v>46090</v>
      </c>
      <c r="G203" s="426">
        <v>46094</v>
      </c>
      <c r="H203" s="426" t="s">
        <v>753</v>
      </c>
      <c r="I203" s="372">
        <v>0.33333333333333331</v>
      </c>
      <c r="J203" s="372"/>
      <c r="K203" s="371"/>
      <c r="L203" s="371"/>
      <c r="M203" s="371"/>
      <c r="N203" s="371"/>
      <c r="O203" s="371"/>
      <c r="P203" s="375" t="s">
        <v>241</v>
      </c>
      <c r="Q203" s="375"/>
      <c r="R203" s="376"/>
      <c r="S203" s="370">
        <f>VLOOKUP(Table2[[#This Row],[Course Title]],'TSD-Data'!$A$1:$E$70,4,FALSE)</f>
        <v>40</v>
      </c>
      <c r="T203" s="377">
        <f>VLOOKUP(Table2[[#This Row],[Course Title]],'TSD-Data'!$A$1:$F$70,6,FALSE)</f>
        <v>40</v>
      </c>
      <c r="U203" s="378">
        <f>VLOOKUP(Table2[[#This Row],[Course Title]],'TSD-Data'!$A$1:$F$70,5,FALSE)</f>
        <v>5</v>
      </c>
      <c r="V203" s="377">
        <v>51</v>
      </c>
      <c r="W203" s="377"/>
      <c r="X203" s="377"/>
      <c r="Y203" s="378"/>
      <c r="Z203" s="378"/>
      <c r="AA203" s="370"/>
      <c r="AB203" s="370"/>
      <c r="AC203" s="370"/>
      <c r="AD203" s="370"/>
      <c r="AE203" s="378" t="e">
        <v>#REF!</v>
      </c>
      <c r="AF203" s="370">
        <v>0</v>
      </c>
      <c r="AG203" s="377" t="e">
        <v>#REF!</v>
      </c>
      <c r="AH203" s="377">
        <v>1</v>
      </c>
      <c r="AI203" s="377">
        <v>1</v>
      </c>
      <c r="AJ203" s="377" t="e">
        <v>#VALUE!</v>
      </c>
      <c r="AK203" s="370"/>
      <c r="AL203" s="388">
        <v>2</v>
      </c>
      <c r="AM203" s="403" t="str">
        <f>VLOOKUP(Table2[[#This Row],[Course Title]],'TSD-Data'!$A$1:$G$70,7,FALSE)</f>
        <v>N4</v>
      </c>
    </row>
    <row r="204" spans="1:39" s="380" customFormat="1" x14ac:dyDescent="0.25">
      <c r="A204" s="368"/>
      <c r="B204" s="369" t="s">
        <v>38</v>
      </c>
      <c r="C204" s="370" t="str">
        <f>VLOOKUP(Table2[[#This Row],[Course Title]],'TSD-Data'!$A$1:$E$70,2,FALSE)</f>
        <v>A-493-0061</v>
      </c>
      <c r="D204" s="370" t="str">
        <f>VLOOKUP(Table2[[#This Row],[Course Title]],'TSD-Data'!$A$1:$E$70,3,FALSE)</f>
        <v>288E</v>
      </c>
      <c r="E204" s="369" t="s">
        <v>86</v>
      </c>
      <c r="F204" s="371">
        <v>46090</v>
      </c>
      <c r="G204" s="371">
        <v>46093</v>
      </c>
      <c r="H204" s="371" t="s">
        <v>752</v>
      </c>
      <c r="I204" s="372"/>
      <c r="J204" s="372">
        <v>0.79166666666666663</v>
      </c>
      <c r="K204" s="381">
        <v>0.66666666666666663</v>
      </c>
      <c r="L204" s="381">
        <v>8.3333333333333329E-2</v>
      </c>
      <c r="M204" s="381">
        <v>0</v>
      </c>
      <c r="N204" s="381">
        <v>0.54166666666666663</v>
      </c>
      <c r="O204" s="381">
        <v>0.33333333333333331</v>
      </c>
      <c r="P204" s="375" t="s">
        <v>274</v>
      </c>
      <c r="Q204" s="375"/>
      <c r="R204" s="376"/>
      <c r="S204" s="370">
        <f>VLOOKUP(Table2[[#This Row],[Course Title]],'TSD-Data'!$A$1:$E$70,4,FALSE)</f>
        <v>45</v>
      </c>
      <c r="T204" s="377">
        <f>VLOOKUP(Table2[[#This Row],[Course Title]],'TSD-Data'!$A$1:$F$70,6,FALSE)</f>
        <v>30</v>
      </c>
      <c r="U204" s="378">
        <f>VLOOKUP(Table2[[#This Row],[Course Title]],'TSD-Data'!$A$1:$F$70,5,FALSE)</f>
        <v>4</v>
      </c>
      <c r="V204" s="379">
        <v>187</v>
      </c>
      <c r="W204" s="377"/>
      <c r="X204" s="377"/>
      <c r="Y204" s="378"/>
      <c r="Z204" s="378"/>
      <c r="AA204" s="370"/>
      <c r="AB204" s="370"/>
      <c r="AC204" s="370"/>
      <c r="AD204" s="370"/>
      <c r="AE204" s="378">
        <f ca="1">Table2[[#This Row],[End Date]]+2-TODAY()</f>
        <v>277</v>
      </c>
      <c r="AF204" s="370">
        <f>IF(ISBLANK(Table2[[#This Row],[Roster Received by]]),1,0)</f>
        <v>1</v>
      </c>
      <c r="AG204" s="377">
        <f ca="1">IF(Table2[[#This Row],[Start Date]]&gt;TODAY(),1,)</f>
        <v>1</v>
      </c>
      <c r="AH204" s="377">
        <f>IF(ISBLANK(Table2[[#This Row],[Primary Instructor]]),0,1)</f>
        <v>1</v>
      </c>
      <c r="AI204" s="377">
        <f>IF(ISBLANK(Table2[[#This Row],[Instructor 2]]),0,1)</f>
        <v>0</v>
      </c>
      <c r="AJ204" s="377">
        <f>Table2[[#This Row],[Course Length (Hours)]]/(SUM(Table2[[#This Row],[1]:[2]]))</f>
        <v>30</v>
      </c>
      <c r="AK204" s="370"/>
      <c r="AL204" s="388">
        <v>2</v>
      </c>
      <c r="AM204" s="403" t="str">
        <f>VLOOKUP(Table2[[#This Row],[Course Title]],'TSD-Data'!$A$1:$G$70,7,FALSE)</f>
        <v>N5</v>
      </c>
    </row>
    <row r="205" spans="1:39" s="380" customFormat="1" x14ac:dyDescent="0.25">
      <c r="A205" s="368"/>
      <c r="B205" s="369" t="s">
        <v>59</v>
      </c>
      <c r="C205" s="370" t="str">
        <f>VLOOKUP(Table2[[#This Row],[Course Title]],'TSD-Data'!$A$1:$E$70,2,FALSE)</f>
        <v>A-493-0550</v>
      </c>
      <c r="D205" s="370" t="str">
        <f>VLOOKUP(Table2[[#This Row],[Course Title]],'TSD-Data'!$A$1:$E$70,3,FALSE)</f>
        <v>09K5</v>
      </c>
      <c r="E205" s="369" t="s">
        <v>86</v>
      </c>
      <c r="F205" s="371">
        <v>46090</v>
      </c>
      <c r="G205" s="371">
        <v>46093</v>
      </c>
      <c r="H205" s="371" t="s">
        <v>752</v>
      </c>
      <c r="I205" s="372"/>
      <c r="J205" s="372">
        <v>0.5</v>
      </c>
      <c r="K205" s="381">
        <v>0.375</v>
      </c>
      <c r="L205" s="381">
        <v>0.79166666666666663</v>
      </c>
      <c r="M205" s="381">
        <v>0.75</v>
      </c>
      <c r="N205" s="381">
        <v>0.25</v>
      </c>
      <c r="O205" s="381">
        <v>4.1666666666666664E-2</v>
      </c>
      <c r="P205" s="375" t="s">
        <v>272</v>
      </c>
      <c r="Q205" s="375"/>
      <c r="R205" s="376"/>
      <c r="S205" s="370">
        <f>VLOOKUP(Table2[[#This Row],[Course Title]],'TSD-Data'!$A$1:$E$70,4,FALSE)</f>
        <v>45</v>
      </c>
      <c r="T205" s="377">
        <f>VLOOKUP(Table2[[#This Row],[Course Title]],'TSD-Data'!$A$1:$F$70,6,FALSE)</f>
        <v>32</v>
      </c>
      <c r="U205" s="378">
        <f>VLOOKUP(Table2[[#This Row],[Course Title]],'TSD-Data'!$A$1:$F$70,5,FALSE)</f>
        <v>4</v>
      </c>
      <c r="V205" s="379">
        <v>864</v>
      </c>
      <c r="W205" s="377"/>
      <c r="X205" s="377"/>
      <c r="Y205" s="378"/>
      <c r="Z205" s="378"/>
      <c r="AA205" s="370"/>
      <c r="AB205" s="370"/>
      <c r="AC205" s="370"/>
      <c r="AD205" s="370"/>
      <c r="AE205" s="378">
        <f ca="1">Table2[[#This Row],[End Date]]+2-TODAY()</f>
        <v>277</v>
      </c>
      <c r="AF205" s="370">
        <f>IF(ISBLANK(Table2[[#This Row],[Roster Received by]]),1,0)</f>
        <v>1</v>
      </c>
      <c r="AG205" s="377">
        <f ca="1">IF(Table2[[#This Row],[Start Date]]&gt;TODAY(),1,)</f>
        <v>1</v>
      </c>
      <c r="AH205" s="377">
        <f>IF(ISBLANK(Table2[[#This Row],[Primary Instructor]]),0,1)</f>
        <v>1</v>
      </c>
      <c r="AI205" s="377">
        <f>IF(ISBLANK(Table2[[#This Row],[Instructor 2]]),0,1)</f>
        <v>0</v>
      </c>
      <c r="AJ205" s="377">
        <f>Table2[[#This Row],[Course Length (Hours)]]/(SUM(Table2[[#This Row],[1]:[2]]))</f>
        <v>32</v>
      </c>
      <c r="AK205" s="370"/>
      <c r="AL205" s="388">
        <v>2</v>
      </c>
      <c r="AM205" s="403" t="str">
        <f>VLOOKUP(Table2[[#This Row],[Course Title]],'TSD-Data'!$A$1:$G$70,7,FALSE)</f>
        <v>N5</v>
      </c>
    </row>
    <row r="206" spans="1:39" s="380" customFormat="1" x14ac:dyDescent="0.25">
      <c r="A206" s="368"/>
      <c r="B206" s="369" t="s">
        <v>61</v>
      </c>
      <c r="C206" s="370" t="str">
        <f>VLOOKUP(Table2[[#This Row],[Course Title]],'TSD-Data'!$A$1:$E$70,2,FALSE)</f>
        <v>A-493-0078</v>
      </c>
      <c r="D206" s="370">
        <f>VLOOKUP(Table2[[#This Row],[Course Title]],'TSD-Data'!$A$1:$E$70,3,FALSE)</f>
        <v>1228</v>
      </c>
      <c r="E206" s="369" t="s">
        <v>86</v>
      </c>
      <c r="F206" s="371">
        <v>46090</v>
      </c>
      <c r="G206" s="371">
        <v>46093</v>
      </c>
      <c r="H206" s="371" t="s">
        <v>752</v>
      </c>
      <c r="I206" s="372"/>
      <c r="J206" s="372">
        <v>0.79166666666666663</v>
      </c>
      <c r="K206" s="381">
        <v>0.66666666666666663</v>
      </c>
      <c r="L206" s="381">
        <v>8.3333333333333329E-2</v>
      </c>
      <c r="M206" s="381">
        <v>0</v>
      </c>
      <c r="N206" s="381">
        <v>0.54166666666666663</v>
      </c>
      <c r="O206" s="381">
        <v>0.33333333333333331</v>
      </c>
      <c r="P206" s="375" t="s">
        <v>256</v>
      </c>
      <c r="Q206" s="375"/>
      <c r="R206" s="376"/>
      <c r="S206" s="370">
        <f>VLOOKUP(Table2[[#This Row],[Course Title]],'TSD-Data'!$A$1:$E$70,4,FALSE)</f>
        <v>45</v>
      </c>
      <c r="T206" s="377">
        <f>VLOOKUP(Table2[[#This Row],[Course Title]],'TSD-Data'!$A$1:$F$70,6,FALSE)</f>
        <v>32</v>
      </c>
      <c r="U206" s="378">
        <f>VLOOKUP(Table2[[#This Row],[Course Title]],'TSD-Data'!$A$1:$F$70,5,FALSE)</f>
        <v>4</v>
      </c>
      <c r="V206" s="379">
        <v>181</v>
      </c>
      <c r="W206" s="377"/>
      <c r="X206" s="377"/>
      <c r="Y206" s="378"/>
      <c r="Z206" s="378"/>
      <c r="AA206" s="370"/>
      <c r="AB206" s="370"/>
      <c r="AC206" s="370"/>
      <c r="AD206" s="370"/>
      <c r="AE206" s="378">
        <f ca="1">Table2[[#This Row],[End Date]]+2-TODAY()</f>
        <v>277</v>
      </c>
      <c r="AF206" s="370">
        <f>IF(ISBLANK(Table2[[#This Row],[Roster Received by]]),1,0)</f>
        <v>1</v>
      </c>
      <c r="AG206" s="377">
        <f ca="1">IF(Table2[[#This Row],[Start Date]]&gt;TODAY(),1,)</f>
        <v>1</v>
      </c>
      <c r="AH206" s="377">
        <f>IF(ISBLANK(Table2[[#This Row],[Primary Instructor]]),0,1)</f>
        <v>1</v>
      </c>
      <c r="AI206" s="377">
        <f>IF(ISBLANK(Table2[[#This Row],[Instructor 2]]),0,1)</f>
        <v>0</v>
      </c>
      <c r="AJ206" s="377">
        <f>Table2[[#This Row],[Course Length (Hours)]]/(SUM(Table2[[#This Row],[1]:[2]]))</f>
        <v>32</v>
      </c>
      <c r="AK206" s="370"/>
      <c r="AL206" s="388">
        <v>2</v>
      </c>
      <c r="AM206" s="403" t="str">
        <f>VLOOKUP(Table2[[#This Row],[Course Title]],'TSD-Data'!$A$1:$G$70,7,FALSE)</f>
        <v>N5</v>
      </c>
    </row>
    <row r="207" spans="1:39" s="380" customFormat="1" x14ac:dyDescent="0.25">
      <c r="A207" s="368"/>
      <c r="B207" s="369" t="s">
        <v>39</v>
      </c>
      <c r="C207" s="370" t="str">
        <f>VLOOKUP(Table2[[#This Row],[Course Title]],'TSD-Data'!$A$1:$E$70,2,FALSE)</f>
        <v>A-570-0100</v>
      </c>
      <c r="D207" s="370" t="str">
        <f>VLOOKUP(Table2[[#This Row],[Course Title]],'TSD-Data'!$A$1:$E$70,3,FALSE)</f>
        <v>18B7</v>
      </c>
      <c r="E207" s="369" t="s">
        <v>86</v>
      </c>
      <c r="F207" s="371">
        <v>46090</v>
      </c>
      <c r="G207" s="371">
        <v>46091</v>
      </c>
      <c r="H207" s="371" t="s">
        <v>752</v>
      </c>
      <c r="I207" s="372"/>
      <c r="J207" s="372">
        <v>0.5</v>
      </c>
      <c r="K207" s="381">
        <v>0.375</v>
      </c>
      <c r="L207" s="381">
        <v>0.79166666666666663</v>
      </c>
      <c r="M207" s="381">
        <v>0.75</v>
      </c>
      <c r="N207" s="381">
        <v>0.25</v>
      </c>
      <c r="O207" s="381">
        <v>4.1666666666666664E-2</v>
      </c>
      <c r="P207" s="375" t="s">
        <v>252</v>
      </c>
      <c r="Q207" s="375"/>
      <c r="R207" s="376"/>
      <c r="S207" s="370">
        <f>VLOOKUP(Table2[[#This Row],[Course Title]],'TSD-Data'!$A$1:$E$70,4,FALSE)</f>
        <v>45</v>
      </c>
      <c r="T207" s="377">
        <f>VLOOKUP(Table2[[#This Row],[Course Title]],'TSD-Data'!$A$1:$F$70,6,FALSE)</f>
        <v>16</v>
      </c>
      <c r="U207" s="378">
        <f>VLOOKUP(Table2[[#This Row],[Course Title]],'TSD-Data'!$A$1:$F$70,5,FALSE)</f>
        <v>2</v>
      </c>
      <c r="V207" s="379">
        <v>621</v>
      </c>
      <c r="W207" s="377"/>
      <c r="X207" s="377"/>
      <c r="Y207" s="378"/>
      <c r="Z207" s="378"/>
      <c r="AA207" s="370"/>
      <c r="AB207" s="370"/>
      <c r="AC207" s="370"/>
      <c r="AD207" s="370"/>
      <c r="AE207" s="378">
        <f ca="1">Table2[[#This Row],[End Date]]+2-TODAY()</f>
        <v>275</v>
      </c>
      <c r="AF207" s="370">
        <f>IF(ISBLANK(Table2[[#This Row],[Roster Received by]]),1,0)</f>
        <v>1</v>
      </c>
      <c r="AG207" s="377">
        <f ca="1">IF(Table2[[#This Row],[Start Date]]&gt;TODAY(),1,)</f>
        <v>1</v>
      </c>
      <c r="AH207" s="377">
        <f>IF(ISBLANK(Table2[[#This Row],[Primary Instructor]]),0,1)</f>
        <v>1</v>
      </c>
      <c r="AI207" s="377">
        <f>IF(ISBLANK(Table2[[#This Row],[Instructor 2]]),0,1)</f>
        <v>0</v>
      </c>
      <c r="AJ207" s="377">
        <f>Table2[[#This Row],[Course Length (Hours)]]/(SUM(Table2[[#This Row],[1]:[2]]))</f>
        <v>16</v>
      </c>
      <c r="AK207" s="370"/>
      <c r="AL207" s="388">
        <v>2</v>
      </c>
      <c r="AM207" s="403" t="str">
        <f>VLOOKUP(Table2[[#This Row],[Course Title]],'TSD-Data'!$A$1:$G$70,7,FALSE)</f>
        <v>N5</v>
      </c>
    </row>
    <row r="208" spans="1:39" s="380" customFormat="1" x14ac:dyDescent="0.25">
      <c r="A208" s="413"/>
      <c r="B208" s="369" t="s">
        <v>29</v>
      </c>
      <c r="C208" s="370" t="str">
        <f>VLOOKUP(Table2[[#This Row],[Course Title]],'TSD-Data'!$A$1:$E$70,2,FALSE)</f>
        <v>A-493-0077</v>
      </c>
      <c r="D208" s="370" t="str">
        <f>VLOOKUP(Table2[[#This Row],[Course Title]],'TSD-Data'!$A$1:$E$70,3,FALSE)</f>
        <v>0381</v>
      </c>
      <c r="E208" s="414" t="s">
        <v>357</v>
      </c>
      <c r="F208" s="416">
        <v>46091</v>
      </c>
      <c r="G208" s="416">
        <v>46093</v>
      </c>
      <c r="H208" s="426" t="s">
        <v>753</v>
      </c>
      <c r="I208" s="417">
        <v>0.33333333333333331</v>
      </c>
      <c r="J208" s="417"/>
      <c r="K208" s="416"/>
      <c r="L208" s="416"/>
      <c r="M208" s="416"/>
      <c r="N208" s="416"/>
      <c r="O208" s="416"/>
      <c r="P208" s="418" t="s">
        <v>241</v>
      </c>
      <c r="Q208" s="418"/>
      <c r="R208" s="376"/>
      <c r="S208" s="370">
        <f>VLOOKUP(Table2[[#This Row],[Course Title]],'TSD-Data'!$A$1:$E$70,4,FALSE)</f>
        <v>25</v>
      </c>
      <c r="T208" s="377">
        <f>VLOOKUP(Table2[[#This Row],[Course Title]],'TSD-Data'!$A$1:$F$70,6,FALSE)</f>
        <v>24</v>
      </c>
      <c r="U208" s="378">
        <f>VLOOKUP(Table2[[#This Row],[Course Title]],'TSD-Data'!$A$1:$F$70,5,FALSE)</f>
        <v>3</v>
      </c>
      <c r="V208" s="379">
        <v>28</v>
      </c>
      <c r="W208" s="377"/>
      <c r="X208" s="377"/>
      <c r="Y208" s="420"/>
      <c r="Z208" s="420"/>
      <c r="AA208" s="415"/>
      <c r="AB208" s="415"/>
      <c r="AC208" s="421"/>
      <c r="AD208" s="421"/>
      <c r="AE208" s="420">
        <v>288</v>
      </c>
      <c r="AF208" s="415">
        <v>1</v>
      </c>
      <c r="AG208" s="403">
        <v>1</v>
      </c>
      <c r="AH208" s="403">
        <v>1</v>
      </c>
      <c r="AI208" s="403">
        <v>0</v>
      </c>
      <c r="AJ208" s="403">
        <v>24</v>
      </c>
      <c r="AK208" s="415"/>
      <c r="AL208" s="388">
        <v>2</v>
      </c>
      <c r="AM208" s="403" t="str">
        <f>VLOOKUP(Table2[[#This Row],[Course Title]],'TSD-Data'!$A$1:$G$70,7,FALSE)</f>
        <v>N4</v>
      </c>
    </row>
    <row r="209" spans="1:39" s="380" customFormat="1" x14ac:dyDescent="0.25">
      <c r="A209" s="368"/>
      <c r="B209" s="435" t="s">
        <v>50</v>
      </c>
      <c r="C209" s="370" t="str">
        <f>VLOOKUP(Table2[[#This Row],[Course Title]],'TSD-Data'!$A$1:$E$70,2,FALSE)</f>
        <v>A-493-0331</v>
      </c>
      <c r="D209" s="370" t="str">
        <f>VLOOKUP(Table2[[#This Row],[Course Title]],'TSD-Data'!$A$1:$E$70,3,FALSE)</f>
        <v>10UG</v>
      </c>
      <c r="E209" s="369" t="s">
        <v>86</v>
      </c>
      <c r="F209" s="371">
        <v>46091</v>
      </c>
      <c r="G209" s="371">
        <v>46093</v>
      </c>
      <c r="H209" s="371" t="s">
        <v>752</v>
      </c>
      <c r="I209" s="372"/>
      <c r="J209" s="372">
        <v>0.5</v>
      </c>
      <c r="K209" s="381">
        <v>0.375</v>
      </c>
      <c r="L209" s="381">
        <v>0.79166666666666663</v>
      </c>
      <c r="M209" s="381">
        <v>0.75</v>
      </c>
      <c r="N209" s="381">
        <v>0.25</v>
      </c>
      <c r="O209" s="381">
        <v>4.1666666666666664E-2</v>
      </c>
      <c r="P209" s="375" t="s">
        <v>297</v>
      </c>
      <c r="Q209" s="375"/>
      <c r="R209" s="376"/>
      <c r="S209" s="370">
        <f>VLOOKUP(Table2[[#This Row],[Course Title]],'TSD-Data'!$A$1:$E$70,4,FALSE)</f>
        <v>45</v>
      </c>
      <c r="T209" s="377">
        <f>VLOOKUP(Table2[[#This Row],[Course Title]],'TSD-Data'!$A$1:$F$70,6,FALSE)</f>
        <v>24</v>
      </c>
      <c r="U209" s="378">
        <f>VLOOKUP(Table2[[#This Row],[Course Title]],'TSD-Data'!$A$1:$F$70,5,FALSE)</f>
        <v>3</v>
      </c>
      <c r="V209" s="379">
        <v>844</v>
      </c>
      <c r="W209" s="377"/>
      <c r="X209" s="377"/>
      <c r="Y209" s="378"/>
      <c r="Z209" s="378"/>
      <c r="AA209" s="370"/>
      <c r="AB209" s="370"/>
      <c r="AC209" s="370"/>
      <c r="AD209" s="370"/>
      <c r="AE209" s="378">
        <f ca="1">Table2[[#This Row],[End Date]]+2-TODAY()</f>
        <v>277</v>
      </c>
      <c r="AF209" s="370">
        <f>IF(ISBLANK(Table2[[#This Row],[Roster Received by]]),1,0)</f>
        <v>1</v>
      </c>
      <c r="AG209" s="377">
        <f ca="1">IF(Table2[[#This Row],[Start Date]]&gt;TODAY(),1,)</f>
        <v>1</v>
      </c>
      <c r="AH209" s="377">
        <f>IF(ISBLANK(Table2[[#This Row],[Primary Instructor]]),0,1)</f>
        <v>1</v>
      </c>
      <c r="AI209" s="377">
        <f>IF(ISBLANK(Table2[[#This Row],[Instructor 2]]),0,1)</f>
        <v>0</v>
      </c>
      <c r="AJ209" s="377">
        <f>Table2[[#This Row],[Course Length (Hours)]]/(SUM(Table2[[#This Row],[1]:[2]]))</f>
        <v>24</v>
      </c>
      <c r="AK209" s="370"/>
      <c r="AL209" s="388">
        <v>2</v>
      </c>
      <c r="AM209" s="403" t="str">
        <f>VLOOKUP(Table2[[#This Row],[Course Title]],'TSD-Data'!$A$1:$G$70,7,FALSE)</f>
        <v>N3</v>
      </c>
    </row>
    <row r="210" spans="1:39" s="380" customFormat="1" x14ac:dyDescent="0.25">
      <c r="A210" s="368"/>
      <c r="B210" s="435" t="s">
        <v>93</v>
      </c>
      <c r="C210" s="370" t="str">
        <f>VLOOKUP(Table2[[#This Row],[Course Title]],'TSD-Data'!$A$1:$E$70,2,FALSE)</f>
        <v>A-493-0019</v>
      </c>
      <c r="D210" s="370">
        <f>VLOOKUP(Table2[[#This Row],[Course Title]],'TSD-Data'!$A$1:$E$70,3,FALSE)</f>
        <v>3882</v>
      </c>
      <c r="E210" s="369" t="s">
        <v>174</v>
      </c>
      <c r="F210" s="391">
        <v>46093</v>
      </c>
      <c r="G210" s="391">
        <v>46094</v>
      </c>
      <c r="H210" s="371" t="s">
        <v>752</v>
      </c>
      <c r="I210" s="372">
        <v>0.33333333333333331</v>
      </c>
      <c r="J210" s="372"/>
      <c r="K210" s="371"/>
      <c r="L210" s="371"/>
      <c r="M210" s="371"/>
      <c r="N210" s="371"/>
      <c r="O210" s="371"/>
      <c r="P210" s="375" t="s">
        <v>293</v>
      </c>
      <c r="Q210" s="375" t="s">
        <v>292</v>
      </c>
      <c r="R210" s="376"/>
      <c r="S210" s="370">
        <f>VLOOKUP(Table2[[#This Row],[Course Title]],'TSD-Data'!$A$1:$E$70,4,FALSE)</f>
        <v>25</v>
      </c>
      <c r="T210" s="377">
        <f>VLOOKUP(Table2[[#This Row],[Course Title]],'TSD-Data'!$A$1:$F$70,6,FALSE)</f>
        <v>16</v>
      </c>
      <c r="U210" s="378">
        <f>VLOOKUP(Table2[[#This Row],[Course Title]],'TSD-Data'!$A$1:$F$70,5,FALSE)</f>
        <v>2</v>
      </c>
      <c r="V210" s="379">
        <v>9</v>
      </c>
      <c r="W210" s="377"/>
      <c r="X210" s="377"/>
      <c r="Y210" s="378"/>
      <c r="Z210" s="378"/>
      <c r="AA210" s="370"/>
      <c r="AB210" s="370"/>
      <c r="AC210" s="370"/>
      <c r="AD210" s="370"/>
      <c r="AE210" s="378">
        <f ca="1">Table2[[#This Row],[End Date]]+2-TODAY()</f>
        <v>278</v>
      </c>
      <c r="AF210" s="370">
        <f>IF(ISBLANK(Table2[[#This Row],[Roster Received by]]),1,0)</f>
        <v>1</v>
      </c>
      <c r="AG210" s="377">
        <f ca="1">IF(Table2[[#This Row],[Start Date]]&gt;TODAY(),1,)</f>
        <v>1</v>
      </c>
      <c r="AH210" s="377">
        <f>IF(ISBLANK(Table2[[#This Row],[Primary Instructor]]),0,1)</f>
        <v>1</v>
      </c>
      <c r="AI210" s="377">
        <f>IF(ISBLANK(Table2[[#This Row],[Instructor 2]]),0,1)</f>
        <v>1</v>
      </c>
      <c r="AJ210" s="377">
        <f>Table2[[#This Row],[Course Length (Hours)]]/(SUM(Table2[[#This Row],[1]:[2]]))</f>
        <v>8</v>
      </c>
      <c r="AK210" s="370"/>
      <c r="AL210" s="388">
        <v>2</v>
      </c>
      <c r="AM210" s="403" t="str">
        <f>VLOOKUP(Table2[[#This Row],[Course Title]],'TSD-Data'!$A$1:$G$70,7,FALSE)</f>
        <v>N3</v>
      </c>
    </row>
    <row r="211" spans="1:39" s="380" customFormat="1" x14ac:dyDescent="0.25">
      <c r="A211" s="413"/>
      <c r="B211" s="369" t="s">
        <v>31</v>
      </c>
      <c r="C211" s="370" t="str">
        <f>VLOOKUP(Table2[[#This Row],[Course Title]],'TSD-Data'!$A$1:$E$70,2,FALSE)</f>
        <v>A-493-0083</v>
      </c>
      <c r="D211" s="370" t="str">
        <f>VLOOKUP(Table2[[#This Row],[Course Title]],'TSD-Data'!$A$1:$E$70,3,FALSE)</f>
        <v>339E</v>
      </c>
      <c r="E211" s="414" t="s">
        <v>357</v>
      </c>
      <c r="F211" s="416">
        <v>46094</v>
      </c>
      <c r="G211" s="416">
        <v>46094</v>
      </c>
      <c r="H211" s="426" t="s">
        <v>753</v>
      </c>
      <c r="I211" s="417">
        <v>0.33333333333333331</v>
      </c>
      <c r="J211" s="417"/>
      <c r="K211" s="416"/>
      <c r="L211" s="416"/>
      <c r="M211" s="416"/>
      <c r="N211" s="416"/>
      <c r="O211" s="416"/>
      <c r="P211" s="418" t="s">
        <v>241</v>
      </c>
      <c r="Q211" s="418"/>
      <c r="R211" s="376"/>
      <c r="S211" s="370">
        <f>VLOOKUP(Table2[[#This Row],[Course Title]],'TSD-Data'!$A$1:$E$70,4,FALSE)</f>
        <v>30</v>
      </c>
      <c r="T211" s="377">
        <f>VLOOKUP(Table2[[#This Row],[Course Title]],'TSD-Data'!$A$1:$F$70,6,FALSE)</f>
        <v>8</v>
      </c>
      <c r="U211" s="378">
        <f>VLOOKUP(Table2[[#This Row],[Course Title]],'TSD-Data'!$A$1:$F$70,5,FALSE)</f>
        <v>1</v>
      </c>
      <c r="V211" s="379">
        <v>30</v>
      </c>
      <c r="W211" s="377"/>
      <c r="X211" s="377"/>
      <c r="Y211" s="420"/>
      <c r="Z211" s="420"/>
      <c r="AA211" s="415"/>
      <c r="AB211" s="415"/>
      <c r="AC211" s="421"/>
      <c r="AD211" s="421"/>
      <c r="AE211" s="420">
        <v>289</v>
      </c>
      <c r="AF211" s="415">
        <v>1</v>
      </c>
      <c r="AG211" s="403">
        <v>1</v>
      </c>
      <c r="AH211" s="403">
        <v>1</v>
      </c>
      <c r="AI211" s="403">
        <v>0</v>
      </c>
      <c r="AJ211" s="403">
        <v>8</v>
      </c>
      <c r="AK211" s="415"/>
      <c r="AL211" s="388">
        <v>2</v>
      </c>
      <c r="AM211" s="403" t="str">
        <f>VLOOKUP(Table2[[#This Row],[Course Title]],'TSD-Data'!$A$1:$G$70,7,FALSE)</f>
        <v>N4</v>
      </c>
    </row>
    <row r="212" spans="1:39" s="380" customFormat="1" x14ac:dyDescent="0.25">
      <c r="A212" s="369"/>
      <c r="B212" s="432" t="s">
        <v>15</v>
      </c>
      <c r="C212" s="370" t="str">
        <f>VLOOKUP(Table2[[#This Row],[Course Title]],'TSD-Data'!$A$1:$E$70,2,FALSE)</f>
        <v>A-4J-0022</v>
      </c>
      <c r="D212" s="370" t="str">
        <f>VLOOKUP(Table2[[#This Row],[Course Title]],'TSD-Data'!$A$1:$E$70,3,FALSE)</f>
        <v>09ER</v>
      </c>
      <c r="E212" s="369" t="s">
        <v>86</v>
      </c>
      <c r="F212" s="371">
        <v>46097</v>
      </c>
      <c r="G212" s="371">
        <v>46101</v>
      </c>
      <c r="H212" s="371" t="s">
        <v>752</v>
      </c>
      <c r="I212" s="372"/>
      <c r="J212" s="439">
        <v>0.79166666666666663</v>
      </c>
      <c r="K212" s="439">
        <v>0.66666666666666663</v>
      </c>
      <c r="L212" s="439">
        <v>8.3333333333333329E-2</v>
      </c>
      <c r="M212" s="439">
        <v>0</v>
      </c>
      <c r="N212" s="439">
        <v>0.54166666666666663</v>
      </c>
      <c r="O212" s="439">
        <v>0.33333333333333331</v>
      </c>
      <c r="P212" s="375" t="s">
        <v>238</v>
      </c>
      <c r="Q212" s="375"/>
      <c r="R212" s="375"/>
      <c r="S212" s="370">
        <f>VLOOKUP(Table2[[#This Row],[Course Title]],'TSD-Data'!$A$1:$E$70,4,FALSE)</f>
        <v>45</v>
      </c>
      <c r="T212" s="377">
        <f>VLOOKUP(Table2[[#This Row],[Course Title]],'TSD-Data'!$A$1:$F$70,6,FALSE)</f>
        <v>16</v>
      </c>
      <c r="U212" s="378">
        <f>VLOOKUP(Table2[[#This Row],[Course Title]],'TSD-Data'!$A$1:$F$70,5,FALSE)</f>
        <v>2</v>
      </c>
      <c r="V212" s="379">
        <v>63</v>
      </c>
      <c r="W212" s="377"/>
      <c r="X212" s="377"/>
      <c r="Y212" s="379"/>
      <c r="Z212" s="379"/>
      <c r="AA212" s="377"/>
      <c r="AB212" s="377"/>
      <c r="AC212" s="377"/>
      <c r="AD212" s="377"/>
      <c r="AE212" s="379">
        <f ca="1">Table2[[#This Row],[End Date]]+2-TODAY()</f>
        <v>285</v>
      </c>
      <c r="AF212" s="377">
        <f>IF(ISBLANK(Table2[[#This Row],[Roster Received by]]),1,0)</f>
        <v>1</v>
      </c>
      <c r="AG212" s="377">
        <f ca="1">IF(Table2[[#This Row],[Start Date]]&gt;TODAY(),1,)</f>
        <v>1</v>
      </c>
      <c r="AH212" s="377">
        <f>IF(ISBLANK(Table2[[#This Row],[Primary Instructor]]),0,1)</f>
        <v>1</v>
      </c>
      <c r="AI212" s="377">
        <f>IF(ISBLANK(Table2[[#This Row],[Instructor 2]]),0,1)</f>
        <v>0</v>
      </c>
      <c r="AJ212" s="377">
        <f>Table2[[#This Row],[Course Length (Hours)]]/(SUM(Table2[[#This Row],[1]:[2]]))</f>
        <v>16</v>
      </c>
      <c r="AK212" s="377"/>
      <c r="AL212" s="388">
        <v>2</v>
      </c>
      <c r="AM212" s="403" t="str">
        <f>VLOOKUP(Table2[[#This Row],[Course Title]],'TSD-Data'!$A$1:$G$70,7,FALSE)</f>
        <v>N4</v>
      </c>
    </row>
    <row r="213" spans="1:39" s="380" customFormat="1" x14ac:dyDescent="0.25">
      <c r="A213" s="368"/>
      <c r="B213" s="436" t="s">
        <v>46</v>
      </c>
      <c r="C213" s="370" t="str">
        <f>VLOOKUP(Table2[[#This Row],[Course Title]],'TSD-Data'!$A$1:$E$70,2,FALSE)</f>
        <v>A-493-0070</v>
      </c>
      <c r="D213" s="370" t="str">
        <f>VLOOKUP(Table2[[#This Row],[Course Title]],'TSD-Data'!$A$1:$E$70,3,FALSE)</f>
        <v>450V</v>
      </c>
      <c r="E213" s="369" t="s">
        <v>174</v>
      </c>
      <c r="F213" s="391">
        <v>46097</v>
      </c>
      <c r="G213" s="391">
        <v>46097</v>
      </c>
      <c r="H213" s="371" t="s">
        <v>752</v>
      </c>
      <c r="I213" s="372">
        <v>0.33333333333333331</v>
      </c>
      <c r="J213" s="372"/>
      <c r="K213" s="371"/>
      <c r="L213" s="371"/>
      <c r="M213" s="371"/>
      <c r="N213" s="371"/>
      <c r="O213" s="371"/>
      <c r="P213" s="375" t="s">
        <v>293</v>
      </c>
      <c r="Q213" s="375" t="s">
        <v>292</v>
      </c>
      <c r="R213" s="376"/>
      <c r="S213" s="370">
        <f>VLOOKUP(Table2[[#This Row],[Course Title]],'TSD-Data'!$A$1:$E$70,4,FALSE)</f>
        <v>30</v>
      </c>
      <c r="T213" s="377">
        <f>VLOOKUP(Table2[[#This Row],[Course Title]],'TSD-Data'!$A$1:$F$70,6,FALSE)</f>
        <v>8</v>
      </c>
      <c r="U213" s="378">
        <f>VLOOKUP(Table2[[#This Row],[Course Title]],'TSD-Data'!$A$1:$F$70,5,FALSE)</f>
        <v>1</v>
      </c>
      <c r="V213" s="379">
        <v>13</v>
      </c>
      <c r="W213" s="377"/>
      <c r="X213" s="377"/>
      <c r="Y213" s="378"/>
      <c r="Z213" s="378"/>
      <c r="AA213" s="370"/>
      <c r="AB213" s="370"/>
      <c r="AC213" s="370"/>
      <c r="AD213" s="370"/>
      <c r="AE213" s="378">
        <f ca="1">Table2[[#This Row],[End Date]]+2-TODAY()</f>
        <v>281</v>
      </c>
      <c r="AF213" s="370">
        <f>IF(ISBLANK(Table2[[#This Row],[Roster Received by]]),1,0)</f>
        <v>1</v>
      </c>
      <c r="AG213" s="377">
        <f ca="1">IF(Table2[[#This Row],[Start Date]]&gt;TODAY(),1,)</f>
        <v>1</v>
      </c>
      <c r="AH213" s="377">
        <f>IF(ISBLANK(Table2[[#This Row],[Primary Instructor]]),0,1)</f>
        <v>1</v>
      </c>
      <c r="AI213" s="377">
        <f>IF(ISBLANK(Table2[[#This Row],[Instructor 2]]),0,1)</f>
        <v>1</v>
      </c>
      <c r="AJ213" s="377">
        <f>Table2[[#This Row],[Course Length (Hours)]]/(SUM(Table2[[#This Row],[1]:[2]]))</f>
        <v>4</v>
      </c>
      <c r="AK213" s="370"/>
      <c r="AL213" s="388">
        <v>2</v>
      </c>
      <c r="AM213" s="403" t="str">
        <f>VLOOKUP(Table2[[#This Row],[Course Title]],'TSD-Data'!$A$1:$G$70,7,FALSE)</f>
        <v>N3</v>
      </c>
    </row>
    <row r="214" spans="1:39" s="380" customFormat="1" x14ac:dyDescent="0.25">
      <c r="A214" s="368"/>
      <c r="B214" s="432" t="s">
        <v>55</v>
      </c>
      <c r="C214" s="370" t="str">
        <f>VLOOKUP(Table2[[#This Row],[Course Title]],'TSD-Data'!$A$1:$E$70,2,FALSE)</f>
        <v>A-493-0103</v>
      </c>
      <c r="D214" s="370" t="str">
        <f>VLOOKUP(Table2[[#This Row],[Course Title]],'TSD-Data'!$A$1:$E$70,3,FALSE)</f>
        <v>12JY</v>
      </c>
      <c r="E214" s="369" t="s">
        <v>161</v>
      </c>
      <c r="F214" s="371">
        <v>46097</v>
      </c>
      <c r="G214" s="371">
        <v>46101</v>
      </c>
      <c r="H214" s="371" t="s">
        <v>752</v>
      </c>
      <c r="I214" s="372">
        <v>0.33333333333333331</v>
      </c>
      <c r="J214" s="372"/>
      <c r="K214" s="371"/>
      <c r="L214" s="371"/>
      <c r="M214" s="371"/>
      <c r="N214" s="371"/>
      <c r="O214" s="371"/>
      <c r="P214" s="375" t="s">
        <v>289</v>
      </c>
      <c r="Q214" s="375"/>
      <c r="R214" s="376"/>
      <c r="S214" s="370">
        <f>VLOOKUP(Table2[[#This Row],[Course Title]],'TSD-Data'!$A$1:$E$70,4,FALSE)</f>
        <v>25</v>
      </c>
      <c r="T214" s="377">
        <f>VLOOKUP(Table2[[#This Row],[Course Title]],'TSD-Data'!$A$1:$F$70,6,FALSE)</f>
        <v>40</v>
      </c>
      <c r="U214" s="378">
        <f>VLOOKUP(Table2[[#This Row],[Course Title]],'TSD-Data'!$A$1:$F$70,5,FALSE)</f>
        <v>5</v>
      </c>
      <c r="V214" s="379">
        <v>52</v>
      </c>
      <c r="W214" s="377"/>
      <c r="X214" s="377"/>
      <c r="Y214" s="378"/>
      <c r="Z214" s="378"/>
      <c r="AA214" s="370"/>
      <c r="AB214" s="370"/>
      <c r="AC214" s="370"/>
      <c r="AD214" s="370"/>
      <c r="AE214" s="378">
        <f ca="1">Table2[[#This Row],[End Date]]+2-TODAY()</f>
        <v>285</v>
      </c>
      <c r="AF214" s="370">
        <f>IF(ISBLANK(Table2[[#This Row],[Roster Received by]]),1,0)</f>
        <v>1</v>
      </c>
      <c r="AG214" s="377">
        <f ca="1">IF(Table2[[#This Row],[Start Date]]&gt;TODAY(),1,)</f>
        <v>1</v>
      </c>
      <c r="AH214" s="377">
        <f>IF(ISBLANK(Table2[[#This Row],[Primary Instructor]]),0,1)</f>
        <v>1</v>
      </c>
      <c r="AI214" s="377">
        <f>IF(ISBLANK(Table2[[#This Row],[Instructor 2]]),0,1)</f>
        <v>0</v>
      </c>
      <c r="AJ214" s="377">
        <f>Table2[[#This Row],[Course Length (Hours)]]/(SUM(Table2[[#This Row],[1]:[2]]))</f>
        <v>40</v>
      </c>
      <c r="AK214" s="370"/>
      <c r="AL214" s="388">
        <v>2</v>
      </c>
      <c r="AM214" s="403" t="str">
        <f>VLOOKUP(Table2[[#This Row],[Course Title]],'TSD-Data'!$A$1:$G$70,7,FALSE)</f>
        <v>N5</v>
      </c>
    </row>
    <row r="215" spans="1:39" s="380" customFormat="1" x14ac:dyDescent="0.25">
      <c r="A215" s="413" t="s">
        <v>731</v>
      </c>
      <c r="B215" s="414" t="s">
        <v>28</v>
      </c>
      <c r="C215" s="370" t="str">
        <f>VLOOKUP(Table2[[#This Row],[Course Title]],'TSD-Data'!$A$1:$E$70,2,FALSE)</f>
        <v>A-493-0013</v>
      </c>
      <c r="D215" s="370">
        <f>VLOOKUP(Table2[[#This Row],[Course Title]],'TSD-Data'!$A$1:$E$70,3,FALSE)</f>
        <v>3683</v>
      </c>
      <c r="E215" s="414" t="s">
        <v>414</v>
      </c>
      <c r="F215" s="416">
        <v>46097</v>
      </c>
      <c r="G215" s="416">
        <v>46099</v>
      </c>
      <c r="H215" s="426" t="s">
        <v>753</v>
      </c>
      <c r="I215" s="417">
        <v>0.33333333333333331</v>
      </c>
      <c r="J215" s="417"/>
      <c r="K215" s="416"/>
      <c r="L215" s="416"/>
      <c r="M215" s="416"/>
      <c r="N215" s="416"/>
      <c r="O215" s="416"/>
      <c r="P215" s="418" t="s">
        <v>241</v>
      </c>
      <c r="Q215" s="418"/>
      <c r="R215" s="376"/>
      <c r="S215" s="370">
        <f>VLOOKUP(Table2[[#This Row],[Course Title]],'TSD-Data'!$A$1:$E$70,4,FALSE)</f>
        <v>40</v>
      </c>
      <c r="T215" s="377">
        <f>VLOOKUP(Table2[[#This Row],[Course Title]],'TSD-Data'!$A$1:$F$70,6,FALSE)</f>
        <v>24</v>
      </c>
      <c r="U215" s="378">
        <f>VLOOKUP(Table2[[#This Row],[Course Title]],'TSD-Data'!$A$1:$F$70,5,FALSE)</f>
        <v>3</v>
      </c>
      <c r="V215" s="379">
        <v>72</v>
      </c>
      <c r="W215" s="377"/>
      <c r="X215" s="377"/>
      <c r="Y215" s="420"/>
      <c r="Z215" s="420"/>
      <c r="AA215" s="415"/>
      <c r="AB215" s="415"/>
      <c r="AC215" s="421"/>
      <c r="AD215" s="421"/>
      <c r="AE215" s="420">
        <v>294</v>
      </c>
      <c r="AF215" s="415">
        <v>1</v>
      </c>
      <c r="AG215" s="403">
        <v>1</v>
      </c>
      <c r="AH215" s="403">
        <v>1</v>
      </c>
      <c r="AI215" s="403">
        <v>0</v>
      </c>
      <c r="AJ215" s="403">
        <v>24</v>
      </c>
      <c r="AK215" s="415"/>
      <c r="AL215" s="388">
        <v>2</v>
      </c>
      <c r="AM215" s="403" t="str">
        <f>VLOOKUP(Table2[[#This Row],[Course Title]],'TSD-Data'!$A$1:$G$70,7,FALSE)</f>
        <v>N4</v>
      </c>
    </row>
    <row r="216" spans="1:39" s="380" customFormat="1" x14ac:dyDescent="0.25">
      <c r="A216" s="368"/>
      <c r="B216" s="369" t="s">
        <v>120</v>
      </c>
      <c r="C216" s="370" t="str">
        <f>VLOOKUP(Table2[[#This Row],[Course Title]],'TSD-Data'!$A$1:$E$70,2,FALSE)</f>
        <v>A-322-2604</v>
      </c>
      <c r="D216" s="370" t="str">
        <f>VLOOKUP(Table2[[#This Row],[Course Title]],'TSD-Data'!$A$1:$E$70,3,FALSE)</f>
        <v>10ZZ</v>
      </c>
      <c r="E216" s="369" t="s">
        <v>86</v>
      </c>
      <c r="F216" s="371">
        <v>46097</v>
      </c>
      <c r="G216" s="371">
        <v>46099</v>
      </c>
      <c r="H216" s="371" t="s">
        <v>752</v>
      </c>
      <c r="I216" s="372"/>
      <c r="J216" s="399">
        <v>0.5</v>
      </c>
      <c r="K216" s="381">
        <v>0.375</v>
      </c>
      <c r="L216" s="381">
        <v>0.79166666666666663</v>
      </c>
      <c r="M216" s="381">
        <v>0.75</v>
      </c>
      <c r="N216" s="381">
        <v>0.25</v>
      </c>
      <c r="O216" s="381">
        <v>4.1666666666666664E-2</v>
      </c>
      <c r="P216" s="375" t="s">
        <v>248</v>
      </c>
      <c r="Q216" s="375"/>
      <c r="R216" s="376"/>
      <c r="S216" s="370">
        <f>VLOOKUP(Table2[[#This Row],[Course Title]],'TSD-Data'!$A$1:$E$70,4,FALSE)</f>
        <v>45</v>
      </c>
      <c r="T216" s="377">
        <f>VLOOKUP(Table2[[#This Row],[Course Title]],'TSD-Data'!$A$1:$F$70,6,FALSE)</f>
        <v>24</v>
      </c>
      <c r="U216" s="378">
        <f>VLOOKUP(Table2[[#This Row],[Course Title]],'TSD-Data'!$A$1:$F$70,5,FALSE)</f>
        <v>3</v>
      </c>
      <c r="V216" s="379">
        <v>663</v>
      </c>
      <c r="W216" s="377"/>
      <c r="X216" s="377"/>
      <c r="Y216" s="378"/>
      <c r="Z216" s="378"/>
      <c r="AA216" s="370"/>
      <c r="AB216" s="370"/>
      <c r="AC216" s="370"/>
      <c r="AD216" s="370"/>
      <c r="AE216" s="378">
        <f ca="1">Table2[[#This Row],[End Date]]+2-TODAY()</f>
        <v>283</v>
      </c>
      <c r="AF216" s="370">
        <f>IF(ISBLANK(Table2[[#This Row],[Roster Received by]]),1,0)</f>
        <v>1</v>
      </c>
      <c r="AG216" s="377">
        <f ca="1">IF(Table2[[#This Row],[Start Date]]&gt;TODAY(),1,)</f>
        <v>1</v>
      </c>
      <c r="AH216" s="377">
        <f>IF(ISBLANK(Table2[[#This Row],[Primary Instructor]]),0,1)</f>
        <v>1</v>
      </c>
      <c r="AI216" s="377">
        <f>IF(ISBLANK(Table2[[#This Row],[Instructor 2]]),0,1)</f>
        <v>0</v>
      </c>
      <c r="AJ216" s="377">
        <f>Table2[[#This Row],[Course Length (Hours)]]/(SUM(Table2[[#This Row],[1]:[2]]))</f>
        <v>24</v>
      </c>
      <c r="AK216" s="370"/>
      <c r="AL216" s="388">
        <v>2</v>
      </c>
      <c r="AM216" s="403" t="str">
        <f>VLOOKUP(Table2[[#This Row],[Course Title]],'TSD-Data'!$A$1:$G$70,7,FALSE)</f>
        <v>N3</v>
      </c>
    </row>
    <row r="217" spans="1:39" s="380" customFormat="1" x14ac:dyDescent="0.25">
      <c r="A217" s="413"/>
      <c r="B217" s="369" t="s">
        <v>29</v>
      </c>
      <c r="C217" s="370" t="str">
        <f>VLOOKUP(Table2[[#This Row],[Course Title]],'TSD-Data'!$A$1:$E$70,2,FALSE)</f>
        <v>A-493-0077</v>
      </c>
      <c r="D217" s="370" t="str">
        <f>VLOOKUP(Table2[[#This Row],[Course Title]],'TSD-Data'!$A$1:$E$70,3,FALSE)</f>
        <v>0381</v>
      </c>
      <c r="E217" s="414" t="s">
        <v>404</v>
      </c>
      <c r="F217" s="416">
        <v>46097</v>
      </c>
      <c r="G217" s="416">
        <v>46099</v>
      </c>
      <c r="H217" s="426" t="s">
        <v>753</v>
      </c>
      <c r="I217" s="417">
        <v>0.33333333333333331</v>
      </c>
      <c r="J217" s="417"/>
      <c r="K217" s="416"/>
      <c r="L217" s="416"/>
      <c r="M217" s="416"/>
      <c r="N217" s="416"/>
      <c r="O217" s="416"/>
      <c r="P217" s="418" t="s">
        <v>241</v>
      </c>
      <c r="Q217" s="418"/>
      <c r="R217" s="376"/>
      <c r="S217" s="370">
        <f>VLOOKUP(Table2[[#This Row],[Course Title]],'TSD-Data'!$A$1:$E$70,4,FALSE)</f>
        <v>25</v>
      </c>
      <c r="T217" s="377">
        <f>VLOOKUP(Table2[[#This Row],[Course Title]],'TSD-Data'!$A$1:$F$70,6,FALSE)</f>
        <v>24</v>
      </c>
      <c r="U217" s="378">
        <f>VLOOKUP(Table2[[#This Row],[Course Title]],'TSD-Data'!$A$1:$F$70,5,FALSE)</f>
        <v>3</v>
      </c>
      <c r="V217" s="379">
        <v>28</v>
      </c>
      <c r="W217" s="377"/>
      <c r="X217" s="377"/>
      <c r="Y217" s="420"/>
      <c r="Z217" s="420"/>
      <c r="AA217" s="415"/>
      <c r="AB217" s="415"/>
      <c r="AC217" s="421"/>
      <c r="AD217" s="421"/>
      <c r="AE217" s="420">
        <v>294</v>
      </c>
      <c r="AF217" s="415">
        <v>1</v>
      </c>
      <c r="AG217" s="403">
        <v>1</v>
      </c>
      <c r="AH217" s="403">
        <v>1</v>
      </c>
      <c r="AI217" s="403">
        <v>0</v>
      </c>
      <c r="AJ217" s="403">
        <v>24</v>
      </c>
      <c r="AK217" s="415"/>
      <c r="AL217" s="388">
        <v>2</v>
      </c>
      <c r="AM217" s="403" t="str">
        <f>VLOOKUP(Table2[[#This Row],[Course Title]],'TSD-Data'!$A$1:$G$70,7,FALSE)</f>
        <v>N4</v>
      </c>
    </row>
    <row r="218" spans="1:39" s="380" customFormat="1" x14ac:dyDescent="0.25">
      <c r="A218" s="413"/>
      <c r="B218" s="414" t="s">
        <v>36</v>
      </c>
      <c r="C218" s="370" t="str">
        <f>VLOOKUP(Table2[[#This Row],[Course Title]],'TSD-Data'!$A$1:$E$70,2,FALSE)</f>
        <v>A-493-2017</v>
      </c>
      <c r="D218" s="370" t="str">
        <f>VLOOKUP(Table2[[#This Row],[Course Title]],'TSD-Data'!$A$1:$E$70,3,FALSE)</f>
        <v>12x3</v>
      </c>
      <c r="E218" s="414" t="s">
        <v>162</v>
      </c>
      <c r="F218" s="416">
        <v>46097</v>
      </c>
      <c r="G218" s="416">
        <v>46101</v>
      </c>
      <c r="H218" s="426" t="s">
        <v>753</v>
      </c>
      <c r="I218" s="417">
        <v>0.33333333333333331</v>
      </c>
      <c r="J218" s="417"/>
      <c r="K218" s="416"/>
      <c r="L218" s="416"/>
      <c r="M218" s="416"/>
      <c r="N218" s="416"/>
      <c r="O218" s="416"/>
      <c r="P218" s="418" t="s">
        <v>241</v>
      </c>
      <c r="Q218" s="418"/>
      <c r="R218" s="376"/>
      <c r="S218" s="370">
        <f>VLOOKUP(Table2[[#This Row],[Course Title]],'TSD-Data'!$A$1:$E$70,4,FALSE)</f>
        <v>25</v>
      </c>
      <c r="T218" s="377">
        <f>VLOOKUP(Table2[[#This Row],[Course Title]],'TSD-Data'!$A$1:$F$70,6,FALSE)</f>
        <v>40</v>
      </c>
      <c r="U218" s="378">
        <f>VLOOKUP(Table2[[#This Row],[Course Title]],'TSD-Data'!$A$1:$F$70,5,FALSE)</f>
        <v>5</v>
      </c>
      <c r="V218" s="379">
        <v>36</v>
      </c>
      <c r="W218" s="377"/>
      <c r="X218" s="377"/>
      <c r="Y218" s="420"/>
      <c r="Z218" s="420"/>
      <c r="AA218" s="415"/>
      <c r="AB218" s="415"/>
      <c r="AC218" s="421"/>
      <c r="AD218" s="421"/>
      <c r="AE218" s="420">
        <v>296</v>
      </c>
      <c r="AF218" s="415">
        <v>1</v>
      </c>
      <c r="AG218" s="403">
        <v>1</v>
      </c>
      <c r="AH218" s="403">
        <v>1</v>
      </c>
      <c r="AI218" s="403">
        <v>0</v>
      </c>
      <c r="AJ218" s="403">
        <v>40</v>
      </c>
      <c r="AK218" s="415"/>
      <c r="AL218" s="388">
        <v>2</v>
      </c>
      <c r="AM218" s="403" t="str">
        <f>VLOOKUP(Table2[[#This Row],[Course Title]],'TSD-Data'!$A$1:$G$70,7,FALSE)</f>
        <v>N4</v>
      </c>
    </row>
    <row r="219" spans="1:39" s="380" customFormat="1" x14ac:dyDescent="0.25">
      <c r="A219" s="369"/>
      <c r="B219" s="436" t="s">
        <v>42</v>
      </c>
      <c r="C219" s="370" t="str">
        <f>VLOOKUP(Table2[[#This Row],[Course Title]],'TSD-Data'!$A$1:$E$70,2,FALSE)</f>
        <v>A-493-0015</v>
      </c>
      <c r="D219" s="370">
        <f>VLOOKUP(Table2[[#This Row],[Course Title]],'TSD-Data'!$A$1:$E$70,3,FALSE)</f>
        <v>3879</v>
      </c>
      <c r="E219" s="432" t="s">
        <v>174</v>
      </c>
      <c r="F219" s="391">
        <v>46098</v>
      </c>
      <c r="G219" s="391">
        <v>46098</v>
      </c>
      <c r="H219" s="371" t="s">
        <v>752</v>
      </c>
      <c r="I219" s="372">
        <v>0.33333333333333331</v>
      </c>
      <c r="J219" s="392"/>
      <c r="K219" s="371"/>
      <c r="L219" s="371"/>
      <c r="M219" s="371"/>
      <c r="N219" s="371"/>
      <c r="O219" s="371"/>
      <c r="P219" s="375" t="s">
        <v>293</v>
      </c>
      <c r="Q219" s="375" t="s">
        <v>292</v>
      </c>
      <c r="R219" s="375"/>
      <c r="S219" s="370">
        <f>VLOOKUP(Table2[[#This Row],[Course Title]],'TSD-Data'!$A$1:$E$70,4,FALSE)</f>
        <v>30</v>
      </c>
      <c r="T219" s="377">
        <f>VLOOKUP(Table2[[#This Row],[Course Title]],'TSD-Data'!$A$1:$F$70,6,FALSE)</f>
        <v>4</v>
      </c>
      <c r="U219" s="378">
        <f>VLOOKUP(Table2[[#This Row],[Course Title]],'TSD-Data'!$A$1:$F$70,5,FALSE)</f>
        <v>0.5</v>
      </c>
      <c r="V219" s="379">
        <v>33</v>
      </c>
      <c r="W219" s="377"/>
      <c r="X219" s="377"/>
      <c r="Y219" s="379"/>
      <c r="Z219" s="379"/>
      <c r="AA219" s="377"/>
      <c r="AB219" s="377"/>
      <c r="AC219" s="377"/>
      <c r="AD219" s="377"/>
      <c r="AE219" s="379">
        <f ca="1">Table2[[#This Row],[End Date]]+2-TODAY()</f>
        <v>282</v>
      </c>
      <c r="AF219" s="377">
        <f>IF(ISBLANK(Table2[[#This Row],[Roster Received by]]),1,0)</f>
        <v>1</v>
      </c>
      <c r="AG219" s="377">
        <f ca="1">IF(Table2[[#This Row],[Start Date]]&gt;TODAY(),1,)</f>
        <v>1</v>
      </c>
      <c r="AH219" s="377">
        <f>IF(ISBLANK(Table2[[#This Row],[Primary Instructor]]),0,1)</f>
        <v>1</v>
      </c>
      <c r="AI219" s="377">
        <f>IF(ISBLANK(Table2[[#This Row],[Instructor 2]]),0,1)</f>
        <v>1</v>
      </c>
      <c r="AJ219" s="377">
        <f>Table2[[#This Row],[Course Length (Hours)]]/(SUM(Table2[[#This Row],[1]:[2]]))</f>
        <v>2</v>
      </c>
      <c r="AK219" s="377"/>
      <c r="AL219" s="388">
        <v>2</v>
      </c>
      <c r="AM219" s="403" t="str">
        <f>VLOOKUP(Table2[[#This Row],[Course Title]],'TSD-Data'!$A$1:$G$70,7,FALSE)</f>
        <v>N3</v>
      </c>
    </row>
    <row r="220" spans="1:39" s="380" customFormat="1" x14ac:dyDescent="0.25">
      <c r="A220" s="368"/>
      <c r="B220" s="436" t="s">
        <v>44</v>
      </c>
      <c r="C220" s="370" t="str">
        <f>VLOOKUP(Table2[[#This Row],[Course Title]],'TSD-Data'!$A$1:$E$70,2,FALSE)</f>
        <v>A-493-0020</v>
      </c>
      <c r="D220" s="370">
        <f>VLOOKUP(Table2[[#This Row],[Course Title]],'TSD-Data'!$A$1:$E$70,3,FALSE)</f>
        <v>3888</v>
      </c>
      <c r="E220" s="369" t="s">
        <v>174</v>
      </c>
      <c r="F220" s="391">
        <v>46098</v>
      </c>
      <c r="G220" s="391">
        <v>46098</v>
      </c>
      <c r="H220" s="371" t="s">
        <v>752</v>
      </c>
      <c r="I220" s="372">
        <v>1300.5</v>
      </c>
      <c r="J220" s="372"/>
      <c r="K220" s="371"/>
      <c r="L220" s="371"/>
      <c r="M220" s="371"/>
      <c r="N220" s="371"/>
      <c r="O220" s="371"/>
      <c r="P220" s="375" t="s">
        <v>293</v>
      </c>
      <c r="Q220" s="375" t="s">
        <v>292</v>
      </c>
      <c r="R220" s="376"/>
      <c r="S220" s="370">
        <f>VLOOKUP(Table2[[#This Row],[Course Title]],'TSD-Data'!$A$1:$E$70,4,FALSE)</f>
        <v>30</v>
      </c>
      <c r="T220" s="377">
        <f>VLOOKUP(Table2[[#This Row],[Course Title]],'TSD-Data'!$A$1:$F$70,6,FALSE)</f>
        <v>4</v>
      </c>
      <c r="U220" s="378">
        <f>VLOOKUP(Table2[[#This Row],[Course Title]],'TSD-Data'!$A$1:$F$70,5,FALSE)</f>
        <v>0.5</v>
      </c>
      <c r="V220" s="379">
        <v>36</v>
      </c>
      <c r="W220" s="377"/>
      <c r="X220" s="377"/>
      <c r="Y220" s="378"/>
      <c r="Z220" s="378"/>
      <c r="AA220" s="370"/>
      <c r="AB220" s="370"/>
      <c r="AC220" s="370"/>
      <c r="AD220" s="370"/>
      <c r="AE220" s="378">
        <f ca="1">Table2[[#This Row],[End Date]]+2-TODAY()</f>
        <v>282</v>
      </c>
      <c r="AF220" s="370">
        <f>IF(ISBLANK(Table2[[#This Row],[Roster Received by]]),1,0)</f>
        <v>1</v>
      </c>
      <c r="AG220" s="377">
        <f ca="1">IF(Table2[[#This Row],[Start Date]]&gt;TODAY(),1,)</f>
        <v>1</v>
      </c>
      <c r="AH220" s="377">
        <f>IF(ISBLANK(Table2[[#This Row],[Primary Instructor]]),0,1)</f>
        <v>1</v>
      </c>
      <c r="AI220" s="377">
        <f>IF(ISBLANK(Table2[[#This Row],[Instructor 2]]),0,1)</f>
        <v>1</v>
      </c>
      <c r="AJ220" s="377">
        <f>Table2[[#This Row],[Course Length (Hours)]]/(SUM(Table2[[#This Row],[1]:[2]]))</f>
        <v>2</v>
      </c>
      <c r="AK220" s="370"/>
      <c r="AL220" s="388">
        <v>2</v>
      </c>
      <c r="AM220" s="403" t="str">
        <f>VLOOKUP(Table2[[#This Row],[Course Title]],'TSD-Data'!$A$1:$G$70,7,FALSE)</f>
        <v>N3</v>
      </c>
    </row>
    <row r="221" spans="1:39" s="380" customFormat="1" x14ac:dyDescent="0.25">
      <c r="A221" s="368"/>
      <c r="B221" s="369" t="s">
        <v>57</v>
      </c>
      <c r="C221" s="370" t="str">
        <f>VLOOKUP(Table2[[#This Row],[Course Title]],'TSD-Data'!$A$1:$E$70,2,FALSE)</f>
        <v>A-493-0099</v>
      </c>
      <c r="D221" s="370" t="str">
        <f>VLOOKUP(Table2[[#This Row],[Course Title]],'TSD-Data'!$A$1:$E$70,3,FALSE)</f>
        <v>12JW</v>
      </c>
      <c r="E221" s="369" t="s">
        <v>86</v>
      </c>
      <c r="F221" s="371">
        <v>46098</v>
      </c>
      <c r="G221" s="371">
        <v>46100</v>
      </c>
      <c r="H221" s="371" t="s">
        <v>752</v>
      </c>
      <c r="I221" s="372"/>
      <c r="J221" s="372">
        <v>0.79166666666666663</v>
      </c>
      <c r="K221" s="381">
        <v>0.66666666666666663</v>
      </c>
      <c r="L221" s="381">
        <v>8.3333333333333329E-2</v>
      </c>
      <c r="M221" s="381">
        <v>0</v>
      </c>
      <c r="N221" s="381">
        <v>0.54166666666666663</v>
      </c>
      <c r="O221" s="381">
        <v>0.33333333333333331</v>
      </c>
      <c r="P221" s="375" t="s">
        <v>277</v>
      </c>
      <c r="Q221" s="375"/>
      <c r="R221" s="376"/>
      <c r="S221" s="370">
        <f>VLOOKUP(Table2[[#This Row],[Course Title]],'TSD-Data'!$A$1:$E$70,4,FALSE)</f>
        <v>45</v>
      </c>
      <c r="T221" s="377">
        <f>VLOOKUP(Table2[[#This Row],[Course Title]],'TSD-Data'!$A$1:$F$70,6,FALSE)</f>
        <v>24</v>
      </c>
      <c r="U221" s="378">
        <f>VLOOKUP(Table2[[#This Row],[Course Title]],'TSD-Data'!$A$1:$F$70,5,FALSE)</f>
        <v>3</v>
      </c>
      <c r="V221" s="379">
        <v>224</v>
      </c>
      <c r="W221" s="377"/>
      <c r="X221" s="377"/>
      <c r="Y221" s="378"/>
      <c r="Z221" s="378"/>
      <c r="AA221" s="370"/>
      <c r="AB221" s="370"/>
      <c r="AC221" s="370"/>
      <c r="AD221" s="370"/>
      <c r="AE221" s="378">
        <f ca="1">Table2[[#This Row],[End Date]]+2-TODAY()</f>
        <v>284</v>
      </c>
      <c r="AF221" s="370">
        <f>IF(ISBLANK(Table2[[#This Row],[Roster Received by]]),1,0)</f>
        <v>1</v>
      </c>
      <c r="AG221" s="377">
        <f ca="1">IF(Table2[[#This Row],[Start Date]]&gt;TODAY(),1,)</f>
        <v>1</v>
      </c>
      <c r="AH221" s="377">
        <f>IF(ISBLANK(Table2[[#This Row],[Primary Instructor]]),0,1)</f>
        <v>1</v>
      </c>
      <c r="AI221" s="377">
        <f>IF(ISBLANK(Table2[[#This Row],[Instructor 2]]),0,1)</f>
        <v>0</v>
      </c>
      <c r="AJ221" s="377">
        <f>Table2[[#This Row],[Course Length (Hours)]]/(SUM(Table2[[#This Row],[1]:[2]]))</f>
        <v>24</v>
      </c>
      <c r="AK221" s="370"/>
      <c r="AL221" s="388">
        <v>2</v>
      </c>
      <c r="AM221" s="403" t="str">
        <f>VLOOKUP(Table2[[#This Row],[Course Title]],'TSD-Data'!$A$1:$G$70,7,FALSE)</f>
        <v>N5</v>
      </c>
    </row>
    <row r="222" spans="1:39" s="380" customFormat="1" x14ac:dyDescent="0.25">
      <c r="A222" s="413"/>
      <c r="B222" s="369" t="s">
        <v>29</v>
      </c>
      <c r="C222" s="370" t="str">
        <f>VLOOKUP(Table2[[#This Row],[Course Title]],'TSD-Data'!$A$1:$E$70,2,FALSE)</f>
        <v>A-493-0077</v>
      </c>
      <c r="D222" s="370" t="str">
        <f>VLOOKUP(Table2[[#This Row],[Course Title]],'TSD-Data'!$A$1:$E$70,3,FALSE)</f>
        <v>0381</v>
      </c>
      <c r="E222" s="414" t="s">
        <v>276</v>
      </c>
      <c r="F222" s="416">
        <v>46098</v>
      </c>
      <c r="G222" s="416">
        <v>46100</v>
      </c>
      <c r="H222" s="426" t="s">
        <v>753</v>
      </c>
      <c r="I222" s="417">
        <v>0.33333333333333331</v>
      </c>
      <c r="J222" s="417"/>
      <c r="K222" s="416"/>
      <c r="L222" s="416"/>
      <c r="M222" s="416"/>
      <c r="N222" s="416"/>
      <c r="O222" s="416"/>
      <c r="P222" s="418" t="s">
        <v>241</v>
      </c>
      <c r="Q222" s="418"/>
      <c r="R222" s="376"/>
      <c r="S222" s="370">
        <f>VLOOKUP(Table2[[#This Row],[Course Title]],'TSD-Data'!$A$1:$E$70,4,FALSE)</f>
        <v>25</v>
      </c>
      <c r="T222" s="377">
        <f>VLOOKUP(Table2[[#This Row],[Course Title]],'TSD-Data'!$A$1:$F$70,6,FALSE)</f>
        <v>24</v>
      </c>
      <c r="U222" s="378">
        <f>VLOOKUP(Table2[[#This Row],[Course Title]],'TSD-Data'!$A$1:$F$70,5,FALSE)</f>
        <v>3</v>
      </c>
      <c r="V222" s="379">
        <v>49</v>
      </c>
      <c r="W222" s="377"/>
      <c r="X222" s="377"/>
      <c r="Y222" s="420"/>
      <c r="Z222" s="420"/>
      <c r="AA222" s="415"/>
      <c r="AB222" s="415"/>
      <c r="AC222" s="421"/>
      <c r="AD222" s="421"/>
      <c r="AE222" s="420">
        <v>295</v>
      </c>
      <c r="AF222" s="415">
        <v>1</v>
      </c>
      <c r="AG222" s="403">
        <v>1</v>
      </c>
      <c r="AH222" s="403">
        <v>1</v>
      </c>
      <c r="AI222" s="403">
        <v>0</v>
      </c>
      <c r="AJ222" s="403">
        <v>24</v>
      </c>
      <c r="AK222" s="415"/>
      <c r="AL222" s="388">
        <v>2</v>
      </c>
      <c r="AM222" s="403" t="str">
        <f>VLOOKUP(Table2[[#This Row],[Course Title]],'TSD-Data'!$A$1:$G$70,7,FALSE)</f>
        <v>N4</v>
      </c>
    </row>
    <row r="223" spans="1:39" s="380" customFormat="1" x14ac:dyDescent="0.25">
      <c r="A223" s="369"/>
      <c r="B223" s="432" t="s">
        <v>48</v>
      </c>
      <c r="C223" s="370" t="str">
        <f>VLOOKUP(Table2[[#This Row],[Course Title]],'TSD-Data'!$A$1:$E$70,2,FALSE)</f>
        <v>A-760-2166</v>
      </c>
      <c r="D223" s="370" t="str">
        <f>VLOOKUP(Table2[[#This Row],[Course Title]],'TSD-Data'!$A$1:$E$70,3,FALSE)</f>
        <v>438J</v>
      </c>
      <c r="E223" s="369" t="s">
        <v>174</v>
      </c>
      <c r="F223" s="371">
        <v>46099</v>
      </c>
      <c r="G223" s="371">
        <v>46100</v>
      </c>
      <c r="H223" s="371" t="s">
        <v>752</v>
      </c>
      <c r="I223" s="372">
        <v>0.33333333333333331</v>
      </c>
      <c r="J223" s="372"/>
      <c r="K223" s="437"/>
      <c r="L223" s="371"/>
      <c r="M223" s="371"/>
      <c r="N223" s="371"/>
      <c r="O223" s="371"/>
      <c r="P223" s="375" t="s">
        <v>293</v>
      </c>
      <c r="Q223" s="375" t="s">
        <v>292</v>
      </c>
      <c r="R223" s="375"/>
      <c r="S223" s="370">
        <f>VLOOKUP(Table2[[#This Row],[Course Title]],'TSD-Data'!$A$1:$E$70,4,FALSE)</f>
        <v>25</v>
      </c>
      <c r="T223" s="377">
        <f>VLOOKUP(Table2[[#This Row],[Course Title]],'TSD-Data'!$A$1:$F$70,6,FALSE)</f>
        <v>16</v>
      </c>
      <c r="U223" s="378">
        <f>VLOOKUP(Table2[[#This Row],[Course Title]],'TSD-Data'!$A$1:$F$70,5,FALSE)</f>
        <v>2</v>
      </c>
      <c r="V223" s="379">
        <v>12</v>
      </c>
      <c r="W223" s="377"/>
      <c r="X223" s="377"/>
      <c r="Y223" s="379"/>
      <c r="Z223" s="379"/>
      <c r="AA223" s="377"/>
      <c r="AB223" s="377"/>
      <c r="AC223" s="377"/>
      <c r="AD223" s="377"/>
      <c r="AE223" s="379">
        <f ca="1">Table2[[#This Row],[End Date]]+2-TODAY()</f>
        <v>284</v>
      </c>
      <c r="AF223" s="377">
        <f>IF(ISBLANK(Table2[[#This Row],[Roster Received by]]),1,0)</f>
        <v>1</v>
      </c>
      <c r="AG223" s="377">
        <f ca="1">IF(Table2[[#This Row],[Start Date]]&gt;TODAY(),1,)</f>
        <v>1</v>
      </c>
      <c r="AH223" s="377">
        <f>IF(ISBLANK(Table2[[#This Row],[Primary Instructor]]),0,1)</f>
        <v>1</v>
      </c>
      <c r="AI223" s="377">
        <f>IF(ISBLANK(Table2[[#This Row],[Instructor 2]]),0,1)</f>
        <v>1</v>
      </c>
      <c r="AJ223" s="377">
        <f>Table2[[#This Row],[Course Length (Hours)]]/(SUM(Table2[[#This Row],[1]:[2]]))</f>
        <v>8</v>
      </c>
      <c r="AK223" s="377"/>
      <c r="AL223" s="388">
        <v>2</v>
      </c>
      <c r="AM223" s="403" t="str">
        <f>VLOOKUP(Table2[[#This Row],[Course Title]],'TSD-Data'!$A$1:$G$70,7,FALSE)</f>
        <v>N3</v>
      </c>
    </row>
    <row r="224" spans="1:39" s="380" customFormat="1" x14ac:dyDescent="0.25">
      <c r="A224" s="413"/>
      <c r="B224" s="369" t="s">
        <v>31</v>
      </c>
      <c r="C224" s="370" t="str">
        <f>VLOOKUP(Table2[[#This Row],[Course Title]],'TSD-Data'!$A$1:$E$70,2,FALSE)</f>
        <v>A-493-0083</v>
      </c>
      <c r="D224" s="370" t="str">
        <f>VLOOKUP(Table2[[#This Row],[Course Title]],'TSD-Data'!$A$1:$E$70,3,FALSE)</f>
        <v>339E</v>
      </c>
      <c r="E224" s="414" t="s">
        <v>404</v>
      </c>
      <c r="F224" s="416">
        <v>46100</v>
      </c>
      <c r="G224" s="416">
        <v>46100</v>
      </c>
      <c r="H224" s="426" t="s">
        <v>753</v>
      </c>
      <c r="I224" s="417">
        <v>0.33333333333333331</v>
      </c>
      <c r="J224" s="417"/>
      <c r="K224" s="416"/>
      <c r="L224" s="416"/>
      <c r="M224" s="416"/>
      <c r="N224" s="416"/>
      <c r="O224" s="416"/>
      <c r="P224" s="418" t="s">
        <v>241</v>
      </c>
      <c r="Q224" s="418"/>
      <c r="R224" s="376"/>
      <c r="S224" s="370">
        <f>VLOOKUP(Table2[[#This Row],[Course Title]],'TSD-Data'!$A$1:$E$70,4,FALSE)</f>
        <v>30</v>
      </c>
      <c r="T224" s="377">
        <f>VLOOKUP(Table2[[#This Row],[Course Title]],'TSD-Data'!$A$1:$F$70,6,FALSE)</f>
        <v>8</v>
      </c>
      <c r="U224" s="378">
        <f>VLOOKUP(Table2[[#This Row],[Course Title]],'TSD-Data'!$A$1:$F$70,5,FALSE)</f>
        <v>1</v>
      </c>
      <c r="V224" s="379">
        <v>30</v>
      </c>
      <c r="W224" s="377"/>
      <c r="X224" s="377"/>
      <c r="Y224" s="420"/>
      <c r="Z224" s="420"/>
      <c r="AA224" s="415"/>
      <c r="AB224" s="415"/>
      <c r="AC224" s="421"/>
      <c r="AD224" s="421"/>
      <c r="AE224" s="420">
        <v>295</v>
      </c>
      <c r="AF224" s="415">
        <v>1</v>
      </c>
      <c r="AG224" s="403">
        <v>1</v>
      </c>
      <c r="AH224" s="403">
        <v>1</v>
      </c>
      <c r="AI224" s="403">
        <v>0</v>
      </c>
      <c r="AJ224" s="403">
        <v>8</v>
      </c>
      <c r="AK224" s="415"/>
      <c r="AL224" s="388">
        <v>2</v>
      </c>
      <c r="AM224" s="403" t="str">
        <f>VLOOKUP(Table2[[#This Row],[Course Title]],'TSD-Data'!$A$1:$G$70,7,FALSE)</f>
        <v>N4</v>
      </c>
    </row>
    <row r="225" spans="1:39" s="380" customFormat="1" x14ac:dyDescent="0.25">
      <c r="A225" s="413"/>
      <c r="B225" s="369" t="s">
        <v>31</v>
      </c>
      <c r="C225" s="370" t="str">
        <f>VLOOKUP(Table2[[#This Row],[Course Title]],'TSD-Data'!$A$1:$E$70,2,FALSE)</f>
        <v>A-493-0083</v>
      </c>
      <c r="D225" s="370" t="str">
        <f>VLOOKUP(Table2[[#This Row],[Course Title]],'TSD-Data'!$A$1:$E$70,3,FALSE)</f>
        <v>339E</v>
      </c>
      <c r="E225" s="414" t="s">
        <v>276</v>
      </c>
      <c r="F225" s="416">
        <v>46101</v>
      </c>
      <c r="G225" s="416">
        <v>46101</v>
      </c>
      <c r="H225" s="426" t="s">
        <v>753</v>
      </c>
      <c r="I225" s="417">
        <v>0.33333333333333331</v>
      </c>
      <c r="J225" s="417"/>
      <c r="K225" s="416"/>
      <c r="L225" s="416"/>
      <c r="M225" s="416"/>
      <c r="N225" s="416"/>
      <c r="O225" s="416"/>
      <c r="P225" s="418" t="s">
        <v>241</v>
      </c>
      <c r="Q225" s="418"/>
      <c r="R225" s="376"/>
      <c r="S225" s="370">
        <f>VLOOKUP(Table2[[#This Row],[Course Title]],'TSD-Data'!$A$1:$E$70,4,FALSE)</f>
        <v>30</v>
      </c>
      <c r="T225" s="377">
        <f>VLOOKUP(Table2[[#This Row],[Course Title]],'TSD-Data'!$A$1:$F$70,6,FALSE)</f>
        <v>8</v>
      </c>
      <c r="U225" s="378">
        <f>VLOOKUP(Table2[[#This Row],[Course Title]],'TSD-Data'!$A$1:$F$70,5,FALSE)</f>
        <v>1</v>
      </c>
      <c r="V225" s="379">
        <v>30</v>
      </c>
      <c r="W225" s="377"/>
      <c r="X225" s="377"/>
      <c r="Y225" s="420"/>
      <c r="Z225" s="420"/>
      <c r="AA225" s="415"/>
      <c r="AB225" s="415"/>
      <c r="AC225" s="421"/>
      <c r="AD225" s="421"/>
      <c r="AE225" s="420">
        <v>296</v>
      </c>
      <c r="AF225" s="415">
        <v>1</v>
      </c>
      <c r="AG225" s="403">
        <v>1</v>
      </c>
      <c r="AH225" s="403">
        <v>1</v>
      </c>
      <c r="AI225" s="403">
        <v>0</v>
      </c>
      <c r="AJ225" s="403">
        <v>8</v>
      </c>
      <c r="AK225" s="415"/>
      <c r="AL225" s="388">
        <v>2</v>
      </c>
      <c r="AM225" s="403" t="str">
        <f>VLOOKUP(Table2[[#This Row],[Course Title]],'TSD-Data'!$A$1:$G$70,7,FALSE)</f>
        <v>N4</v>
      </c>
    </row>
    <row r="226" spans="1:39" s="380" customFormat="1" x14ac:dyDescent="0.25">
      <c r="A226" s="368"/>
      <c r="B226" s="432" t="s">
        <v>55</v>
      </c>
      <c r="C226" s="370" t="str">
        <f>VLOOKUP(Table2[[#This Row],[Course Title]],'TSD-Data'!$A$1:$E$70,2,FALSE)</f>
        <v>A-493-0103</v>
      </c>
      <c r="D226" s="370" t="str">
        <f>VLOOKUP(Table2[[#This Row],[Course Title]],'TSD-Data'!$A$1:$E$70,3,FALSE)</f>
        <v>12JY</v>
      </c>
      <c r="E226" s="369" t="s">
        <v>176</v>
      </c>
      <c r="F226" s="371">
        <v>46104</v>
      </c>
      <c r="G226" s="371">
        <v>46107</v>
      </c>
      <c r="H226" s="371" t="s">
        <v>752</v>
      </c>
      <c r="I226" s="372">
        <v>0.33333333333333331</v>
      </c>
      <c r="J226" s="372"/>
      <c r="K226" s="371"/>
      <c r="L226" s="371"/>
      <c r="M226" s="371"/>
      <c r="N226" s="371"/>
      <c r="O226" s="371"/>
      <c r="P226" s="375" t="s">
        <v>289</v>
      </c>
      <c r="Q226" s="375"/>
      <c r="R226" s="376"/>
      <c r="S226" s="370">
        <f>VLOOKUP(Table2[[#This Row],[Course Title]],'TSD-Data'!$A$1:$E$70,4,FALSE)</f>
        <v>25</v>
      </c>
      <c r="T226" s="377">
        <f>VLOOKUP(Table2[[#This Row],[Course Title]],'TSD-Data'!$A$1:$F$70,6,FALSE)</f>
        <v>40</v>
      </c>
      <c r="U226" s="378">
        <f>VLOOKUP(Table2[[#This Row],[Course Title]],'TSD-Data'!$A$1:$F$70,5,FALSE)</f>
        <v>5</v>
      </c>
      <c r="V226" s="379">
        <v>516</v>
      </c>
      <c r="W226" s="377"/>
      <c r="X226" s="377"/>
      <c r="Y226" s="378"/>
      <c r="Z226" s="378"/>
      <c r="AA226" s="370"/>
      <c r="AB226" s="370"/>
      <c r="AC226" s="370"/>
      <c r="AD226" s="370"/>
      <c r="AE226" s="378">
        <f ca="1">Table2[[#This Row],[End Date]]+2-TODAY()</f>
        <v>291</v>
      </c>
      <c r="AF226" s="370">
        <f>IF(ISBLANK(Table2[[#This Row],[Roster Received by]]),1,0)</f>
        <v>1</v>
      </c>
      <c r="AG226" s="377">
        <f ca="1">IF(Table2[[#This Row],[Start Date]]&gt;TODAY(),1,)</f>
        <v>1</v>
      </c>
      <c r="AH226" s="377">
        <f>IF(ISBLANK(Table2[[#This Row],[Primary Instructor]]),0,1)</f>
        <v>1</v>
      </c>
      <c r="AI226" s="377">
        <f>IF(ISBLANK(Table2[[#This Row],[Instructor 2]]),0,1)</f>
        <v>0</v>
      </c>
      <c r="AJ226" s="377">
        <f>Table2[[#This Row],[Course Length (Hours)]]/(SUM(Table2[[#This Row],[1]:[2]]))</f>
        <v>40</v>
      </c>
      <c r="AK226" s="370"/>
      <c r="AL226" s="388">
        <v>2</v>
      </c>
      <c r="AM226" s="403" t="str">
        <f>VLOOKUP(Table2[[#This Row],[Course Title]],'TSD-Data'!$A$1:$G$70,7,FALSE)</f>
        <v>N5</v>
      </c>
    </row>
    <row r="227" spans="1:39" s="380" customFormat="1" x14ac:dyDescent="0.25">
      <c r="A227" s="425" t="s">
        <v>712</v>
      </c>
      <c r="B227" s="401" t="s">
        <v>17</v>
      </c>
      <c r="C227" s="370" t="str">
        <f>VLOOKUP(Table2[[#This Row],[Course Title]],'TSD-Data'!$A$1:$E$70,2,FALSE)</f>
        <v>A-493-0012</v>
      </c>
      <c r="D227" s="370">
        <f>VLOOKUP(Table2[[#This Row],[Course Title]],'TSD-Data'!$A$1:$E$70,3,FALSE)</f>
        <v>3682</v>
      </c>
      <c r="E227" s="401" t="s">
        <v>294</v>
      </c>
      <c r="F227" s="426">
        <v>46104</v>
      </c>
      <c r="G227" s="426">
        <v>46108</v>
      </c>
      <c r="H227" s="426" t="s">
        <v>753</v>
      </c>
      <c r="I227" s="372">
        <v>0.33333333333333331</v>
      </c>
      <c r="J227" s="372"/>
      <c r="K227" s="371"/>
      <c r="L227" s="371"/>
      <c r="M227" s="371"/>
      <c r="N227" s="371"/>
      <c r="O227" s="371"/>
      <c r="P227" s="375" t="s">
        <v>241</v>
      </c>
      <c r="Q227" s="375"/>
      <c r="R227" s="376"/>
      <c r="S227" s="370">
        <f>VLOOKUP(Table2[[#This Row],[Course Title]],'TSD-Data'!$A$1:$E$70,4,FALSE)</f>
        <v>40</v>
      </c>
      <c r="T227" s="377">
        <f>VLOOKUP(Table2[[#This Row],[Course Title]],'TSD-Data'!$A$1:$F$70,6,FALSE)</f>
        <v>40</v>
      </c>
      <c r="U227" s="378">
        <f>VLOOKUP(Table2[[#This Row],[Course Title]],'TSD-Data'!$A$1:$F$70,5,FALSE)</f>
        <v>5</v>
      </c>
      <c r="V227" s="377">
        <v>30</v>
      </c>
      <c r="W227" s="377"/>
      <c r="X227" s="377"/>
      <c r="Y227" s="378"/>
      <c r="Z227" s="378"/>
      <c r="AA227" s="370"/>
      <c r="AB227" s="370"/>
      <c r="AC227" s="370"/>
      <c r="AD227" s="370"/>
      <c r="AE227" s="378" t="e">
        <v>#REF!</v>
      </c>
      <c r="AF227" s="370">
        <v>0</v>
      </c>
      <c r="AG227" s="377" t="e">
        <v>#REF!</v>
      </c>
      <c r="AH227" s="377">
        <v>1</v>
      </c>
      <c r="AI227" s="377">
        <v>1</v>
      </c>
      <c r="AJ227" s="377" t="e">
        <v>#VALUE!</v>
      </c>
      <c r="AK227" s="370"/>
      <c r="AL227" s="388">
        <v>2</v>
      </c>
      <c r="AM227" s="403" t="str">
        <f>VLOOKUP(Table2[[#This Row],[Course Title]],'TSD-Data'!$A$1:$G$70,7,FALSE)</f>
        <v>N4</v>
      </c>
    </row>
    <row r="228" spans="1:39" s="380" customFormat="1" x14ac:dyDescent="0.25">
      <c r="A228" s="368"/>
      <c r="B228" s="369" t="s">
        <v>38</v>
      </c>
      <c r="C228" s="370" t="str">
        <f>VLOOKUP(Table2[[#This Row],[Course Title]],'TSD-Data'!$A$1:$E$70,2,FALSE)</f>
        <v>A-493-0061</v>
      </c>
      <c r="D228" s="370" t="str">
        <f>VLOOKUP(Table2[[#This Row],[Course Title]],'TSD-Data'!$A$1:$E$70,3,FALSE)</f>
        <v>288E</v>
      </c>
      <c r="E228" s="369" t="s">
        <v>86</v>
      </c>
      <c r="F228" s="371">
        <v>46104</v>
      </c>
      <c r="G228" s="371">
        <v>46107</v>
      </c>
      <c r="H228" s="371" t="s">
        <v>752</v>
      </c>
      <c r="I228" s="372"/>
      <c r="J228" s="372">
        <v>0.33333333333333331</v>
      </c>
      <c r="K228" s="372">
        <v>0.20833333333333334</v>
      </c>
      <c r="L228" s="372">
        <v>0.625</v>
      </c>
      <c r="M228" s="372">
        <v>0.54166666666666663</v>
      </c>
      <c r="N228" s="372">
        <v>8.3333333333333329E-2</v>
      </c>
      <c r="O228" s="372">
        <v>0.875</v>
      </c>
      <c r="P228" s="375" t="s">
        <v>274</v>
      </c>
      <c r="Q228" s="375"/>
      <c r="R228" s="376"/>
      <c r="S228" s="370">
        <f>VLOOKUP(Table2[[#This Row],[Course Title]],'TSD-Data'!$A$1:$E$70,4,FALSE)</f>
        <v>45</v>
      </c>
      <c r="T228" s="377">
        <f>VLOOKUP(Table2[[#This Row],[Course Title]],'TSD-Data'!$A$1:$F$70,6,FALSE)</f>
        <v>30</v>
      </c>
      <c r="U228" s="378">
        <f>VLOOKUP(Table2[[#This Row],[Course Title]],'TSD-Data'!$A$1:$F$70,5,FALSE)</f>
        <v>4</v>
      </c>
      <c r="V228" s="379">
        <v>366</v>
      </c>
      <c r="W228" s="377"/>
      <c r="X228" s="377"/>
      <c r="Y228" s="378"/>
      <c r="Z228" s="378"/>
      <c r="AA228" s="370"/>
      <c r="AB228" s="370"/>
      <c r="AC228" s="370"/>
      <c r="AD228" s="370"/>
      <c r="AE228" s="378">
        <f ca="1">Table2[[#This Row],[End Date]]+2-TODAY()</f>
        <v>291</v>
      </c>
      <c r="AF228" s="370">
        <f>IF(ISBLANK(Table2[[#This Row],[Roster Received by]]),1,0)</f>
        <v>1</v>
      </c>
      <c r="AG228" s="377">
        <f ca="1">IF(Table2[[#This Row],[Start Date]]&gt;TODAY(),1,)</f>
        <v>1</v>
      </c>
      <c r="AH228" s="377">
        <f>IF(ISBLANK(Table2[[#This Row],[Primary Instructor]]),0,1)</f>
        <v>1</v>
      </c>
      <c r="AI228" s="377">
        <f>IF(ISBLANK(Table2[[#This Row],[Instructor 2]]),0,1)</f>
        <v>0</v>
      </c>
      <c r="AJ228" s="377">
        <f>Table2[[#This Row],[Course Length (Hours)]]/(SUM(Table2[[#This Row],[1]:[2]]))</f>
        <v>30</v>
      </c>
      <c r="AK228" s="370"/>
      <c r="AL228" s="388">
        <v>2</v>
      </c>
      <c r="AM228" s="403" t="str">
        <f>VLOOKUP(Table2[[#This Row],[Course Title]],'TSD-Data'!$A$1:$G$70,7,FALSE)</f>
        <v>N5</v>
      </c>
    </row>
    <row r="229" spans="1:39" s="380" customFormat="1" x14ac:dyDescent="0.25">
      <c r="A229" s="413"/>
      <c r="B229" s="369" t="s">
        <v>29</v>
      </c>
      <c r="C229" s="370" t="str">
        <f>VLOOKUP(Table2[[#This Row],[Course Title]],'TSD-Data'!$A$1:$E$70,2,FALSE)</f>
        <v>A-493-0077</v>
      </c>
      <c r="D229" s="370" t="str">
        <f>VLOOKUP(Table2[[#This Row],[Course Title]],'TSD-Data'!$A$1:$E$70,3,FALSE)</f>
        <v>0381</v>
      </c>
      <c r="E229" s="414" t="s">
        <v>165</v>
      </c>
      <c r="F229" s="416">
        <v>46104</v>
      </c>
      <c r="G229" s="416">
        <v>46106</v>
      </c>
      <c r="H229" s="426" t="s">
        <v>753</v>
      </c>
      <c r="I229" s="417">
        <v>0.33333333333333331</v>
      </c>
      <c r="J229" s="417"/>
      <c r="K229" s="416"/>
      <c r="L229" s="416"/>
      <c r="M229" s="416"/>
      <c r="N229" s="416"/>
      <c r="O229" s="416"/>
      <c r="P229" s="418" t="s">
        <v>241</v>
      </c>
      <c r="Q229" s="418"/>
      <c r="R229" s="376"/>
      <c r="S229" s="370">
        <f>VLOOKUP(Table2[[#This Row],[Course Title]],'TSD-Data'!$A$1:$E$70,4,FALSE)</f>
        <v>25</v>
      </c>
      <c r="T229" s="377">
        <f>VLOOKUP(Table2[[#This Row],[Course Title]],'TSD-Data'!$A$1:$F$70,6,FALSE)</f>
        <v>24</v>
      </c>
      <c r="U229" s="378">
        <f>VLOOKUP(Table2[[#This Row],[Course Title]],'TSD-Data'!$A$1:$F$70,5,FALSE)</f>
        <v>3</v>
      </c>
      <c r="V229" s="379">
        <v>17</v>
      </c>
      <c r="W229" s="377"/>
      <c r="X229" s="377"/>
      <c r="Y229" s="420"/>
      <c r="Z229" s="420"/>
      <c r="AA229" s="415"/>
      <c r="AB229" s="415"/>
      <c r="AC229" s="421"/>
      <c r="AD229" s="421"/>
      <c r="AE229" s="420">
        <v>301</v>
      </c>
      <c r="AF229" s="415">
        <v>1</v>
      </c>
      <c r="AG229" s="403">
        <v>1</v>
      </c>
      <c r="AH229" s="403">
        <v>1</v>
      </c>
      <c r="AI229" s="403">
        <v>0</v>
      </c>
      <c r="AJ229" s="403">
        <v>24</v>
      </c>
      <c r="AK229" s="415"/>
      <c r="AL229" s="388">
        <v>2</v>
      </c>
      <c r="AM229" s="403" t="str">
        <f>VLOOKUP(Table2[[#This Row],[Course Title]],'TSD-Data'!$A$1:$G$70,7,FALSE)</f>
        <v>N4</v>
      </c>
    </row>
    <row r="230" spans="1:39" s="380" customFormat="1" x14ac:dyDescent="0.25">
      <c r="A230" s="413"/>
      <c r="B230" s="369" t="s">
        <v>29</v>
      </c>
      <c r="C230" s="370" t="str">
        <f>VLOOKUP(Table2[[#This Row],[Course Title]],'TSD-Data'!$A$1:$E$70,2,FALSE)</f>
        <v>A-493-0077</v>
      </c>
      <c r="D230" s="370" t="str">
        <f>VLOOKUP(Table2[[#This Row],[Course Title]],'TSD-Data'!$A$1:$E$70,3,FALSE)</f>
        <v>0381</v>
      </c>
      <c r="E230" s="414" t="s">
        <v>166</v>
      </c>
      <c r="F230" s="416">
        <v>46104</v>
      </c>
      <c r="G230" s="416">
        <v>46106</v>
      </c>
      <c r="H230" s="426" t="s">
        <v>753</v>
      </c>
      <c r="I230" s="417">
        <v>0.33333333333333331</v>
      </c>
      <c r="J230" s="417"/>
      <c r="K230" s="416"/>
      <c r="L230" s="416"/>
      <c r="M230" s="416"/>
      <c r="N230" s="416"/>
      <c r="O230" s="416"/>
      <c r="P230" s="418" t="s">
        <v>241</v>
      </c>
      <c r="Q230" s="418"/>
      <c r="R230" s="376"/>
      <c r="S230" s="370">
        <f>VLOOKUP(Table2[[#This Row],[Course Title]],'TSD-Data'!$A$1:$E$70,4,FALSE)</f>
        <v>25</v>
      </c>
      <c r="T230" s="377">
        <f>VLOOKUP(Table2[[#This Row],[Course Title]],'TSD-Data'!$A$1:$F$70,6,FALSE)</f>
        <v>24</v>
      </c>
      <c r="U230" s="378">
        <f>VLOOKUP(Table2[[#This Row],[Course Title]],'TSD-Data'!$A$1:$F$70,5,FALSE)</f>
        <v>3</v>
      </c>
      <c r="V230" s="379">
        <v>24</v>
      </c>
      <c r="W230" s="377"/>
      <c r="X230" s="377"/>
      <c r="Y230" s="420"/>
      <c r="Z230" s="420"/>
      <c r="AA230" s="415"/>
      <c r="AB230" s="415"/>
      <c r="AC230" s="421"/>
      <c r="AD230" s="421"/>
      <c r="AE230" s="420">
        <v>301</v>
      </c>
      <c r="AF230" s="415">
        <v>1</v>
      </c>
      <c r="AG230" s="403">
        <v>1</v>
      </c>
      <c r="AH230" s="403">
        <v>1</v>
      </c>
      <c r="AI230" s="403">
        <v>0</v>
      </c>
      <c r="AJ230" s="403">
        <v>24</v>
      </c>
      <c r="AK230" s="415"/>
      <c r="AL230" s="388">
        <v>2</v>
      </c>
      <c r="AM230" s="403" t="str">
        <f>VLOOKUP(Table2[[#This Row],[Course Title]],'TSD-Data'!$A$1:$G$70,7,FALSE)</f>
        <v>N4</v>
      </c>
    </row>
    <row r="231" spans="1:39" s="380" customFormat="1" x14ac:dyDescent="0.25">
      <c r="A231" s="368"/>
      <c r="B231" s="369" t="s">
        <v>51</v>
      </c>
      <c r="C231" s="370" t="str">
        <f>VLOOKUP(Table2[[#This Row],[Course Title]],'TSD-Data'!$A$1:$E$70,2,FALSE)</f>
        <v>A-493-0335</v>
      </c>
      <c r="D231" s="370" t="str">
        <f>VLOOKUP(Table2[[#This Row],[Course Title]],'TSD-Data'!$A$1:$E$70,3,FALSE)</f>
        <v>09ND</v>
      </c>
      <c r="E231" s="369" t="s">
        <v>86</v>
      </c>
      <c r="F231" s="371">
        <v>46104</v>
      </c>
      <c r="G231" s="371">
        <v>46107</v>
      </c>
      <c r="H231" s="371" t="s">
        <v>752</v>
      </c>
      <c r="I231" s="372"/>
      <c r="J231" s="372">
        <v>0.5</v>
      </c>
      <c r="K231" s="381">
        <v>0.375</v>
      </c>
      <c r="L231" s="381">
        <v>0.79166666666666663</v>
      </c>
      <c r="M231" s="381">
        <v>0.75</v>
      </c>
      <c r="N231" s="381">
        <v>0.25</v>
      </c>
      <c r="O231" s="381">
        <v>4.1666666666666664E-2</v>
      </c>
      <c r="P231" s="375" t="s">
        <v>297</v>
      </c>
      <c r="Q231" s="375"/>
      <c r="R231" s="376"/>
      <c r="S231" s="370">
        <f>VLOOKUP(Table2[[#This Row],[Course Title]],'TSD-Data'!$A$1:$E$70,4,FALSE)</f>
        <v>45</v>
      </c>
      <c r="T231" s="377">
        <f>VLOOKUP(Table2[[#This Row],[Course Title]],'TSD-Data'!$A$1:$F$70,6,FALSE)</f>
        <v>32</v>
      </c>
      <c r="U231" s="378">
        <f>VLOOKUP(Table2[[#This Row],[Course Title]],'TSD-Data'!$A$1:$F$70,5,FALSE)</f>
        <v>4</v>
      </c>
      <c r="V231" s="379">
        <v>537</v>
      </c>
      <c r="W231" s="377"/>
      <c r="X231" s="377"/>
      <c r="Y231" s="378"/>
      <c r="Z231" s="378"/>
      <c r="AA231" s="370"/>
      <c r="AB231" s="370"/>
      <c r="AC231" s="370"/>
      <c r="AD231" s="370"/>
      <c r="AE231" s="378">
        <f ca="1">Table2[[#This Row],[End Date]]+2-TODAY()</f>
        <v>291</v>
      </c>
      <c r="AF231" s="370">
        <f>IF(ISBLANK(Table2[[#This Row],[Roster Received by]]),1,0)</f>
        <v>1</v>
      </c>
      <c r="AG231" s="377">
        <f ca="1">IF(Table2[[#This Row],[Start Date]]&gt;TODAY(),1,)</f>
        <v>1</v>
      </c>
      <c r="AH231" s="377">
        <f>IF(ISBLANK(Table2[[#This Row],[Primary Instructor]]),0,1)</f>
        <v>1</v>
      </c>
      <c r="AI231" s="377">
        <f>IF(ISBLANK(Table2[[#This Row],[Instructor 2]]),0,1)</f>
        <v>0</v>
      </c>
      <c r="AJ231" s="377">
        <f>Table2[[#This Row],[Course Length (Hours)]]/(SUM(Table2[[#This Row],[1]:[2]]))</f>
        <v>32</v>
      </c>
      <c r="AK231" s="370"/>
      <c r="AL231" s="388">
        <v>2</v>
      </c>
      <c r="AM231" s="403" t="str">
        <f>VLOOKUP(Table2[[#This Row],[Course Title]],'TSD-Data'!$A$1:$G$70,7,FALSE)</f>
        <v>N3</v>
      </c>
    </row>
    <row r="232" spans="1:39" s="380" customFormat="1" x14ac:dyDescent="0.25">
      <c r="A232" s="368"/>
      <c r="B232" s="369" t="s">
        <v>59</v>
      </c>
      <c r="C232" s="370" t="str">
        <f>VLOOKUP(Table2[[#This Row],[Course Title]],'TSD-Data'!$A$1:$E$70,2,FALSE)</f>
        <v>A-493-0550</v>
      </c>
      <c r="D232" s="370" t="str">
        <f>VLOOKUP(Table2[[#This Row],[Course Title]],'TSD-Data'!$A$1:$E$70,3,FALSE)</f>
        <v>09K5</v>
      </c>
      <c r="E232" s="369" t="s">
        <v>86</v>
      </c>
      <c r="F232" s="371">
        <v>46104</v>
      </c>
      <c r="G232" s="371">
        <v>46107</v>
      </c>
      <c r="H232" s="371" t="s">
        <v>752</v>
      </c>
      <c r="I232" s="372"/>
      <c r="J232" s="372">
        <v>0.33333333333333331</v>
      </c>
      <c r="K232" s="372">
        <v>0.20833333333333334</v>
      </c>
      <c r="L232" s="372">
        <v>0.625</v>
      </c>
      <c r="M232" s="372">
        <v>0.54166666666666663</v>
      </c>
      <c r="N232" s="372">
        <v>8.3333333333333329E-2</v>
      </c>
      <c r="O232" s="372">
        <v>0.875</v>
      </c>
      <c r="P232" s="375" t="s">
        <v>272</v>
      </c>
      <c r="Q232" s="375"/>
      <c r="R232" s="376"/>
      <c r="S232" s="370">
        <f>VLOOKUP(Table2[[#This Row],[Course Title]],'TSD-Data'!$A$1:$E$70,4,FALSE)</f>
        <v>45</v>
      </c>
      <c r="T232" s="377">
        <f>VLOOKUP(Table2[[#This Row],[Course Title]],'TSD-Data'!$A$1:$F$70,6,FALSE)</f>
        <v>32</v>
      </c>
      <c r="U232" s="378">
        <f>VLOOKUP(Table2[[#This Row],[Course Title]],'TSD-Data'!$A$1:$F$70,5,FALSE)</f>
        <v>4</v>
      </c>
      <c r="V232" s="379">
        <v>455</v>
      </c>
      <c r="W232" s="377"/>
      <c r="X232" s="377"/>
      <c r="Y232" s="378"/>
      <c r="Z232" s="378"/>
      <c r="AA232" s="370"/>
      <c r="AB232" s="370"/>
      <c r="AC232" s="370"/>
      <c r="AD232" s="370"/>
      <c r="AE232" s="378">
        <f ca="1">Table2[[#This Row],[End Date]]+2-TODAY()</f>
        <v>291</v>
      </c>
      <c r="AF232" s="370">
        <f>IF(ISBLANK(Table2[[#This Row],[Roster Received by]]),1,0)</f>
        <v>1</v>
      </c>
      <c r="AG232" s="377">
        <f ca="1">IF(Table2[[#This Row],[Start Date]]&gt;TODAY(),1,)</f>
        <v>1</v>
      </c>
      <c r="AH232" s="377">
        <f>IF(ISBLANK(Table2[[#This Row],[Primary Instructor]]),0,1)</f>
        <v>1</v>
      </c>
      <c r="AI232" s="377">
        <f>IF(ISBLANK(Table2[[#This Row],[Instructor 2]]),0,1)</f>
        <v>0</v>
      </c>
      <c r="AJ232" s="377">
        <f>Table2[[#This Row],[Course Length (Hours)]]/(SUM(Table2[[#This Row],[1]:[2]]))</f>
        <v>32</v>
      </c>
      <c r="AK232" s="370"/>
      <c r="AL232" s="388">
        <v>2</v>
      </c>
      <c r="AM232" s="403" t="str">
        <f>VLOOKUP(Table2[[#This Row],[Course Title]],'TSD-Data'!$A$1:$G$70,7,FALSE)</f>
        <v>N5</v>
      </c>
    </row>
    <row r="233" spans="1:39" s="380" customFormat="1" x14ac:dyDescent="0.25">
      <c r="A233" s="368"/>
      <c r="B233" s="369" t="s">
        <v>61</v>
      </c>
      <c r="C233" s="370" t="str">
        <f>VLOOKUP(Table2[[#This Row],[Course Title]],'TSD-Data'!$A$1:$E$70,2,FALSE)</f>
        <v>A-493-0078</v>
      </c>
      <c r="D233" s="370">
        <f>VLOOKUP(Table2[[#This Row],[Course Title]],'TSD-Data'!$A$1:$E$70,3,FALSE)</f>
        <v>1228</v>
      </c>
      <c r="E233" s="369" t="s">
        <v>86</v>
      </c>
      <c r="F233" s="371">
        <v>46104</v>
      </c>
      <c r="G233" s="371">
        <v>46107</v>
      </c>
      <c r="H233" s="371" t="s">
        <v>752</v>
      </c>
      <c r="I233" s="372"/>
      <c r="J233" s="372">
        <v>0.33333333333333331</v>
      </c>
      <c r="K233" s="372">
        <v>0.20833333333333334</v>
      </c>
      <c r="L233" s="372">
        <v>0.625</v>
      </c>
      <c r="M233" s="372">
        <v>0.54166666666666663</v>
      </c>
      <c r="N233" s="372">
        <v>8.3333333333333329E-2</v>
      </c>
      <c r="O233" s="372">
        <v>0.875</v>
      </c>
      <c r="P233" s="375" t="s">
        <v>256</v>
      </c>
      <c r="Q233" s="375"/>
      <c r="R233" s="376"/>
      <c r="S233" s="370">
        <f>VLOOKUP(Table2[[#This Row],[Course Title]],'TSD-Data'!$A$1:$E$70,4,FALSE)</f>
        <v>45</v>
      </c>
      <c r="T233" s="377">
        <f>VLOOKUP(Table2[[#This Row],[Course Title]],'TSD-Data'!$A$1:$F$70,6,FALSE)</f>
        <v>32</v>
      </c>
      <c r="U233" s="378">
        <f>VLOOKUP(Table2[[#This Row],[Course Title]],'TSD-Data'!$A$1:$F$70,5,FALSE)</f>
        <v>4</v>
      </c>
      <c r="V233" s="379">
        <v>454</v>
      </c>
      <c r="W233" s="377"/>
      <c r="X233" s="377"/>
      <c r="Y233" s="378"/>
      <c r="Z233" s="378"/>
      <c r="AA233" s="370"/>
      <c r="AB233" s="370"/>
      <c r="AC233" s="370"/>
      <c r="AD233" s="370"/>
      <c r="AE233" s="378">
        <f ca="1">Table2[[#This Row],[End Date]]+2-TODAY()</f>
        <v>291</v>
      </c>
      <c r="AF233" s="370">
        <f>IF(ISBLANK(Table2[[#This Row],[Roster Received by]]),1,0)</f>
        <v>1</v>
      </c>
      <c r="AG233" s="377">
        <f ca="1">IF(Table2[[#This Row],[Start Date]]&gt;TODAY(),1,)</f>
        <v>1</v>
      </c>
      <c r="AH233" s="377">
        <f>IF(ISBLANK(Table2[[#This Row],[Primary Instructor]]),0,1)</f>
        <v>1</v>
      </c>
      <c r="AI233" s="377">
        <f>IF(ISBLANK(Table2[[#This Row],[Instructor 2]]),0,1)</f>
        <v>0</v>
      </c>
      <c r="AJ233" s="377">
        <f>Table2[[#This Row],[Course Length (Hours)]]/(SUM(Table2[[#This Row],[1]:[2]]))</f>
        <v>32</v>
      </c>
      <c r="AK233" s="370"/>
      <c r="AL233" s="388">
        <v>2</v>
      </c>
      <c r="AM233" s="403" t="str">
        <f>VLOOKUP(Table2[[#This Row],[Course Title]],'TSD-Data'!$A$1:$G$70,7,FALSE)</f>
        <v>N5</v>
      </c>
    </row>
    <row r="234" spans="1:39" s="380" customFormat="1" x14ac:dyDescent="0.25">
      <c r="A234" s="368" t="s">
        <v>570</v>
      </c>
      <c r="B234" s="432" t="s">
        <v>52</v>
      </c>
      <c r="C234" s="370" t="str">
        <f>VLOOKUP(Table2[[#This Row],[Course Title]],'TSD-Data'!$A$1:$E$70,2,FALSE)</f>
        <v>A-493-0085</v>
      </c>
      <c r="D234" s="370">
        <f>VLOOKUP(Table2[[#This Row],[Course Title]],'TSD-Data'!$A$1:$E$70,3,FALSE)</f>
        <v>3555</v>
      </c>
      <c r="E234" s="369" t="s">
        <v>86</v>
      </c>
      <c r="F234" s="371">
        <v>46104</v>
      </c>
      <c r="G234" s="371">
        <v>46107</v>
      </c>
      <c r="H234" s="371" t="s">
        <v>752</v>
      </c>
      <c r="I234" s="372"/>
      <c r="J234" s="440">
        <v>0.5</v>
      </c>
      <c r="K234" s="381">
        <v>0.375</v>
      </c>
      <c r="L234" s="381">
        <v>0.79166666666666663</v>
      </c>
      <c r="M234" s="381">
        <v>0.75</v>
      </c>
      <c r="N234" s="381">
        <v>0.25</v>
      </c>
      <c r="O234" s="381">
        <v>4.1666666666666664E-2</v>
      </c>
      <c r="P234" s="375" t="s">
        <v>293</v>
      </c>
      <c r="Q234" s="375" t="s">
        <v>292</v>
      </c>
      <c r="R234" s="376"/>
      <c r="S234" s="370">
        <f>VLOOKUP(Table2[[#This Row],[Course Title]],'TSD-Data'!$A$1:$E$70,4,FALSE)</f>
        <v>45</v>
      </c>
      <c r="T234" s="377">
        <f>VLOOKUP(Table2[[#This Row],[Course Title]],'TSD-Data'!$A$1:$F$70,6,FALSE)</f>
        <v>32</v>
      </c>
      <c r="U234" s="378">
        <f>VLOOKUP(Table2[[#This Row],[Course Title]],'TSD-Data'!$A$1:$F$70,5,FALSE)</f>
        <v>4</v>
      </c>
      <c r="V234" s="379">
        <v>688</v>
      </c>
      <c r="W234" s="377"/>
      <c r="X234" s="377"/>
      <c r="Y234" s="378"/>
      <c r="Z234" s="378"/>
      <c r="AA234" s="370"/>
      <c r="AB234" s="370"/>
      <c r="AC234" s="370"/>
      <c r="AD234" s="370"/>
      <c r="AE234" s="378">
        <f ca="1">Table2[[#This Row],[End Date]]+2-TODAY()</f>
        <v>291</v>
      </c>
      <c r="AF234" s="370">
        <f>IF(ISBLANK(Table2[[#This Row],[Roster Received by]]),1,0)</f>
        <v>1</v>
      </c>
      <c r="AG234" s="377">
        <f ca="1">IF(Table2[[#This Row],[Start Date]]&gt;TODAY(),1,)</f>
        <v>1</v>
      </c>
      <c r="AH234" s="377">
        <f>IF(ISBLANK(Table2[[#This Row],[Primary Instructor]]),0,1)</f>
        <v>1</v>
      </c>
      <c r="AI234" s="377">
        <f>IF(ISBLANK(Table2[[#This Row],[Instructor 2]]),0,1)</f>
        <v>1</v>
      </c>
      <c r="AJ234" s="377">
        <f>Table2[[#This Row],[Course Length (Hours)]]/(SUM(Table2[[#This Row],[1]:[2]]))</f>
        <v>16</v>
      </c>
      <c r="AK234" s="370"/>
      <c r="AL234" s="388">
        <v>2</v>
      </c>
      <c r="AM234" s="403" t="str">
        <f>VLOOKUP(Table2[[#This Row],[Course Title]],'TSD-Data'!$A$1:$G$70,7,FALSE)</f>
        <v>N3</v>
      </c>
    </row>
    <row r="235" spans="1:39" s="380" customFormat="1" x14ac:dyDescent="0.25">
      <c r="A235" s="413"/>
      <c r="B235" s="414" t="s">
        <v>35</v>
      </c>
      <c r="C235" s="370" t="str">
        <f>VLOOKUP(Table2[[#This Row],[Course Title]],'TSD-Data'!$A$1:$E$70,2,FALSE)</f>
        <v>A-493-2501</v>
      </c>
      <c r="D235" s="370" t="str">
        <f>VLOOKUP(Table2[[#This Row],[Course Title]],'TSD-Data'!$A$1:$E$70,3,FALSE)</f>
        <v>05ZE</v>
      </c>
      <c r="E235" s="414" t="s">
        <v>239</v>
      </c>
      <c r="F235" s="416">
        <v>46104</v>
      </c>
      <c r="G235" s="416">
        <v>46104</v>
      </c>
      <c r="H235" s="426" t="s">
        <v>753</v>
      </c>
      <c r="I235" s="417">
        <v>0.33333333333333331</v>
      </c>
      <c r="J235" s="417"/>
      <c r="K235" s="416"/>
      <c r="L235" s="416"/>
      <c r="M235" s="416"/>
      <c r="N235" s="416"/>
      <c r="O235" s="416"/>
      <c r="P235" s="418" t="s">
        <v>241</v>
      </c>
      <c r="Q235" s="418"/>
      <c r="R235" s="376"/>
      <c r="S235" s="370">
        <f>VLOOKUP(Table2[[#This Row],[Course Title]],'TSD-Data'!$A$1:$E$70,4,FALSE)</f>
        <v>30</v>
      </c>
      <c r="T235" s="377">
        <f>VLOOKUP(Table2[[#This Row],[Course Title]],'TSD-Data'!$A$1:$F$70,6,FALSE)</f>
        <v>8</v>
      </c>
      <c r="U235" s="378">
        <f>VLOOKUP(Table2[[#This Row],[Course Title]],'TSD-Data'!$A$1:$F$70,5,FALSE)</f>
        <v>1</v>
      </c>
      <c r="V235" s="379">
        <v>30</v>
      </c>
      <c r="W235" s="377"/>
      <c r="X235" s="377"/>
      <c r="Y235" s="420"/>
      <c r="Z235" s="420"/>
      <c r="AA235" s="415"/>
      <c r="AB235" s="415"/>
      <c r="AC235" s="421"/>
      <c r="AD235" s="421"/>
      <c r="AE235" s="420">
        <v>299</v>
      </c>
      <c r="AF235" s="415">
        <v>1</v>
      </c>
      <c r="AG235" s="403">
        <v>1</v>
      </c>
      <c r="AH235" s="403">
        <v>1</v>
      </c>
      <c r="AI235" s="403">
        <v>0</v>
      </c>
      <c r="AJ235" s="403">
        <v>8</v>
      </c>
      <c r="AK235" s="415"/>
      <c r="AL235" s="388">
        <v>2</v>
      </c>
      <c r="AM235" s="403" t="str">
        <f>VLOOKUP(Table2[[#This Row],[Course Title]],'TSD-Data'!$A$1:$G$70,7,FALSE)</f>
        <v>N4</v>
      </c>
    </row>
    <row r="236" spans="1:39" s="380" customFormat="1" x14ac:dyDescent="0.25">
      <c r="A236" s="368"/>
      <c r="B236" s="369" t="s">
        <v>39</v>
      </c>
      <c r="C236" s="370" t="str">
        <f>VLOOKUP(Table2[[#This Row],[Course Title]],'TSD-Data'!$A$1:$E$70,2,FALSE)</f>
        <v>A-570-0100</v>
      </c>
      <c r="D236" s="370" t="str">
        <f>VLOOKUP(Table2[[#This Row],[Course Title]],'TSD-Data'!$A$1:$E$70,3,FALSE)</f>
        <v>18B7</v>
      </c>
      <c r="E236" s="369" t="s">
        <v>86</v>
      </c>
      <c r="F236" s="371">
        <v>46104</v>
      </c>
      <c r="G236" s="371">
        <v>46105</v>
      </c>
      <c r="H236" s="371" t="s">
        <v>752</v>
      </c>
      <c r="I236" s="372"/>
      <c r="J236" s="372">
        <v>0.5</v>
      </c>
      <c r="K236" s="381">
        <v>0.375</v>
      </c>
      <c r="L236" s="381">
        <v>0.79166666666666663</v>
      </c>
      <c r="M236" s="381">
        <v>0.75</v>
      </c>
      <c r="N236" s="381">
        <v>0.25</v>
      </c>
      <c r="O236" s="381">
        <v>4.1666666666666664E-2</v>
      </c>
      <c r="P236" s="375" t="s">
        <v>252</v>
      </c>
      <c r="Q236" s="375"/>
      <c r="R236" s="376"/>
      <c r="S236" s="370">
        <f>VLOOKUP(Table2[[#This Row],[Course Title]],'TSD-Data'!$A$1:$E$70,4,FALSE)</f>
        <v>45</v>
      </c>
      <c r="T236" s="377">
        <f>VLOOKUP(Table2[[#This Row],[Course Title]],'TSD-Data'!$A$1:$F$70,6,FALSE)</f>
        <v>16</v>
      </c>
      <c r="U236" s="378">
        <f>VLOOKUP(Table2[[#This Row],[Course Title]],'TSD-Data'!$A$1:$F$70,5,FALSE)</f>
        <v>2</v>
      </c>
      <c r="V236" s="379">
        <v>621</v>
      </c>
      <c r="W236" s="377"/>
      <c r="X236" s="377"/>
      <c r="Y236" s="378"/>
      <c r="Z236" s="378"/>
      <c r="AA236" s="370"/>
      <c r="AB236" s="370"/>
      <c r="AC236" s="370"/>
      <c r="AD236" s="370"/>
      <c r="AE236" s="378">
        <f ca="1">Table2[[#This Row],[End Date]]+2-TODAY()</f>
        <v>289</v>
      </c>
      <c r="AF236" s="370">
        <f>IF(ISBLANK(Table2[[#This Row],[Roster Received by]]),1,0)</f>
        <v>1</v>
      </c>
      <c r="AG236" s="377">
        <f ca="1">IF(Table2[[#This Row],[Start Date]]&gt;TODAY(),1,)</f>
        <v>1</v>
      </c>
      <c r="AH236" s="377">
        <f>IF(ISBLANK(Table2[[#This Row],[Primary Instructor]]),0,1)</f>
        <v>1</v>
      </c>
      <c r="AI236" s="377">
        <f>IF(ISBLANK(Table2[[#This Row],[Instructor 2]]),0,1)</f>
        <v>0</v>
      </c>
      <c r="AJ236" s="377">
        <f>Table2[[#This Row],[Course Length (Hours)]]/(SUM(Table2[[#This Row],[1]:[2]]))</f>
        <v>16</v>
      </c>
      <c r="AK236" s="370"/>
      <c r="AL236" s="388">
        <v>2</v>
      </c>
      <c r="AM236" s="403" t="str">
        <f>VLOOKUP(Table2[[#This Row],[Course Title]],'TSD-Data'!$A$1:$G$70,7,FALSE)</f>
        <v>N5</v>
      </c>
    </row>
    <row r="237" spans="1:39" s="380" customFormat="1" x14ac:dyDescent="0.25">
      <c r="A237" s="368"/>
      <c r="B237" s="369" t="s">
        <v>40</v>
      </c>
      <c r="C237" s="370" t="str">
        <f>VLOOKUP(Table2[[#This Row],[Course Title]],'TSD-Data'!$A$1:$E$70,2,FALSE)</f>
        <v>A-493-2098</v>
      </c>
      <c r="D237" s="370" t="str">
        <f>VLOOKUP(Table2[[#This Row],[Course Title]],'TSD-Data'!$A$1:$E$70,3,FALSE)</f>
        <v>09WW</v>
      </c>
      <c r="E237" s="369" t="s">
        <v>86</v>
      </c>
      <c r="F237" s="371">
        <v>46104</v>
      </c>
      <c r="G237" s="371">
        <v>46106</v>
      </c>
      <c r="H237" s="371" t="s">
        <v>752</v>
      </c>
      <c r="I237" s="372"/>
      <c r="J237" s="372">
        <v>0.79166666666666663</v>
      </c>
      <c r="K237" s="381">
        <v>0.66666666666666663</v>
      </c>
      <c r="L237" s="381">
        <v>8.3333333333333329E-2</v>
      </c>
      <c r="M237" s="381">
        <v>0</v>
      </c>
      <c r="N237" s="381">
        <v>0.54166666666666663</v>
      </c>
      <c r="O237" s="381">
        <v>0.33333333333333331</v>
      </c>
      <c r="P237" s="375" t="s">
        <v>244</v>
      </c>
      <c r="Q237" s="375"/>
      <c r="R237" s="376"/>
      <c r="S237" s="370">
        <f>VLOOKUP(Table2[[#This Row],[Course Title]],'TSD-Data'!$A$1:$E$70,4,FALSE)</f>
        <v>100</v>
      </c>
      <c r="T237" s="377">
        <f>VLOOKUP(Table2[[#This Row],[Course Title]],'TSD-Data'!$A$1:$F$70,6,FALSE)</f>
        <v>16</v>
      </c>
      <c r="U237" s="378">
        <f>VLOOKUP(Table2[[#This Row],[Course Title]],'TSD-Data'!$A$1:$F$70,5,FALSE)</f>
        <v>3</v>
      </c>
      <c r="V237" s="379">
        <v>356</v>
      </c>
      <c r="W237" s="377"/>
      <c r="X237" s="377"/>
      <c r="Y237" s="378"/>
      <c r="Z237" s="378"/>
      <c r="AA237" s="370"/>
      <c r="AB237" s="370"/>
      <c r="AC237" s="370"/>
      <c r="AD237" s="370"/>
      <c r="AE237" s="378">
        <f ca="1">Table2[[#This Row],[End Date]]+2-TODAY()</f>
        <v>290</v>
      </c>
      <c r="AF237" s="370">
        <f>IF(ISBLANK(Table2[[#This Row],[Roster Received by]]),1,0)</f>
        <v>1</v>
      </c>
      <c r="AG237" s="377">
        <f ca="1">IF(Table2[[#This Row],[Start Date]]&gt;TODAY(),1,)</f>
        <v>1</v>
      </c>
      <c r="AH237" s="377">
        <f>IF(ISBLANK(Table2[[#This Row],[Primary Instructor]]),0,1)</f>
        <v>1</v>
      </c>
      <c r="AI237" s="377">
        <f>IF(ISBLANK(Table2[[#This Row],[Instructor 2]]),0,1)</f>
        <v>0</v>
      </c>
      <c r="AJ237" s="377">
        <f>Table2[[#This Row],[Course Length (Hours)]]/(SUM(Table2[[#This Row],[1]:[2]]))</f>
        <v>16</v>
      </c>
      <c r="AK237" s="370"/>
      <c r="AL237" s="388">
        <v>2</v>
      </c>
      <c r="AM237" s="403" t="str">
        <f>VLOOKUP(Table2[[#This Row],[Course Title]],'TSD-Data'!$A$1:$G$70,7,FALSE)</f>
        <v>N1</v>
      </c>
    </row>
    <row r="238" spans="1:39" s="380" customFormat="1" x14ac:dyDescent="0.25">
      <c r="A238" s="368"/>
      <c r="B238" s="432" t="s">
        <v>54</v>
      </c>
      <c r="C238" s="370" t="str">
        <f>VLOOKUP(Table2[[#This Row],[Course Title]],'TSD-Data'!$A$1:$E$70,2,FALSE)</f>
        <v>F-4J-0023</v>
      </c>
      <c r="D238" s="370" t="str">
        <f>VLOOKUP(Table2[[#This Row],[Course Title]],'TSD-Data'!$A$1:$E$70,3,FALSE)</f>
        <v>11A2</v>
      </c>
      <c r="E238" s="369" t="s">
        <v>86</v>
      </c>
      <c r="F238" s="371">
        <v>46104</v>
      </c>
      <c r="G238" s="371">
        <v>46105</v>
      </c>
      <c r="H238" s="371" t="s">
        <v>752</v>
      </c>
      <c r="I238" s="372"/>
      <c r="J238" s="372">
        <v>0.33333333333333331</v>
      </c>
      <c r="K238" s="372">
        <v>0.20833333333333334</v>
      </c>
      <c r="L238" s="372">
        <v>0.625</v>
      </c>
      <c r="M238" s="372">
        <v>0.54166666666666663</v>
      </c>
      <c r="N238" s="372">
        <v>8.3333333333333329E-2</v>
      </c>
      <c r="O238" s="372">
        <v>0.875</v>
      </c>
      <c r="P238" s="375" t="s">
        <v>299</v>
      </c>
      <c r="Q238" s="375"/>
      <c r="R238" s="376"/>
      <c r="S238" s="370">
        <f>VLOOKUP(Table2[[#This Row],[Course Title]],'TSD-Data'!$A$1:$E$70,4,FALSE)</f>
        <v>45</v>
      </c>
      <c r="T238" s="377">
        <f>VLOOKUP(Table2[[#This Row],[Course Title]],'TSD-Data'!$A$1:$F$70,6,FALSE)</f>
        <v>16</v>
      </c>
      <c r="U238" s="378">
        <f>VLOOKUP(Table2[[#This Row],[Course Title]],'TSD-Data'!$A$1:$F$70,5,FALSE)</f>
        <v>2</v>
      </c>
      <c r="V238" s="379">
        <v>28</v>
      </c>
      <c r="W238" s="377"/>
      <c r="X238" s="377"/>
      <c r="Y238" s="378"/>
      <c r="Z238" s="378"/>
      <c r="AA238" s="370"/>
      <c r="AB238" s="370"/>
      <c r="AC238" s="370"/>
      <c r="AD238" s="370"/>
      <c r="AE238" s="378">
        <f ca="1">Table2[[#This Row],[End Date]]+2-TODAY()</f>
        <v>289</v>
      </c>
      <c r="AF238" s="370">
        <f>IF(ISBLANK(Table2[[#This Row],[Roster Received by]]),1,0)</f>
        <v>1</v>
      </c>
      <c r="AG238" s="377">
        <f ca="1">IF(Table2[[#This Row],[Start Date]]&gt;TODAY(),1,)</f>
        <v>1</v>
      </c>
      <c r="AH238" s="377">
        <f>IF(ISBLANK(Table2[[#This Row],[Primary Instructor]]),0,1)</f>
        <v>1</v>
      </c>
      <c r="AI238" s="377">
        <f>IF(ISBLANK(Table2[[#This Row],[Instructor 2]]),0,1)</f>
        <v>0</v>
      </c>
      <c r="AJ238" s="377">
        <f>Table2[[#This Row],[Course Length (Hours)]]/(SUM(Table2[[#This Row],[1]:[2]]))</f>
        <v>16</v>
      </c>
      <c r="AK238" s="370"/>
      <c r="AL238" s="388">
        <v>2</v>
      </c>
      <c r="AM238" s="403" t="str">
        <f>VLOOKUP(Table2[[#This Row],[Course Title]],'TSD-Data'!$A$1:$G$70,7,FALSE)</f>
        <v>N1</v>
      </c>
    </row>
    <row r="239" spans="1:39" s="380" customFormat="1" x14ac:dyDescent="0.25">
      <c r="A239" s="413"/>
      <c r="B239" s="414" t="s">
        <v>35</v>
      </c>
      <c r="C239" s="370" t="str">
        <f>VLOOKUP(Table2[[#This Row],[Course Title]],'TSD-Data'!$A$1:$E$70,2,FALSE)</f>
        <v>A-493-2501</v>
      </c>
      <c r="D239" s="370" t="str">
        <f>VLOOKUP(Table2[[#This Row],[Course Title]],'TSD-Data'!$A$1:$E$70,3,FALSE)</f>
        <v>05ZE</v>
      </c>
      <c r="E239" s="414" t="s">
        <v>179</v>
      </c>
      <c r="F239" s="416">
        <v>46105</v>
      </c>
      <c r="G239" s="416">
        <v>46105</v>
      </c>
      <c r="H239" s="426" t="s">
        <v>753</v>
      </c>
      <c r="I239" s="417">
        <v>0.33333333333333331</v>
      </c>
      <c r="J239" s="417"/>
      <c r="K239" s="416"/>
      <c r="L239" s="416"/>
      <c r="M239" s="416"/>
      <c r="N239" s="416"/>
      <c r="O239" s="416"/>
      <c r="P239" s="418" t="s">
        <v>241</v>
      </c>
      <c r="Q239" s="418"/>
      <c r="R239" s="376"/>
      <c r="S239" s="370">
        <f>VLOOKUP(Table2[[#This Row],[Course Title]],'TSD-Data'!$A$1:$E$70,4,FALSE)</f>
        <v>30</v>
      </c>
      <c r="T239" s="377">
        <f>VLOOKUP(Table2[[#This Row],[Course Title]],'TSD-Data'!$A$1:$F$70,6,FALSE)</f>
        <v>8</v>
      </c>
      <c r="U239" s="378">
        <f>VLOOKUP(Table2[[#This Row],[Course Title]],'TSD-Data'!$A$1:$F$70,5,FALSE)</f>
        <v>1</v>
      </c>
      <c r="V239" s="379">
        <v>28</v>
      </c>
      <c r="W239" s="377"/>
      <c r="X239" s="377"/>
      <c r="Y239" s="420"/>
      <c r="Z239" s="420"/>
      <c r="AA239" s="415"/>
      <c r="AB239" s="415"/>
      <c r="AC239" s="421"/>
      <c r="AD239" s="421"/>
      <c r="AE239" s="420">
        <v>300</v>
      </c>
      <c r="AF239" s="415">
        <v>1</v>
      </c>
      <c r="AG239" s="403">
        <v>1</v>
      </c>
      <c r="AH239" s="403">
        <v>1</v>
      </c>
      <c r="AI239" s="403">
        <v>0</v>
      </c>
      <c r="AJ239" s="403">
        <v>8</v>
      </c>
      <c r="AK239" s="415"/>
      <c r="AL239" s="388">
        <v>2</v>
      </c>
      <c r="AM239" s="403" t="str">
        <f>VLOOKUP(Table2[[#This Row],[Course Title]],'TSD-Data'!$A$1:$G$70,7,FALSE)</f>
        <v>N4</v>
      </c>
    </row>
    <row r="240" spans="1:39" s="380" customFormat="1" x14ac:dyDescent="0.25">
      <c r="A240" s="413"/>
      <c r="B240" s="369" t="s">
        <v>31</v>
      </c>
      <c r="C240" s="370" t="str">
        <f>VLOOKUP(Table2[[#This Row],[Course Title]],'TSD-Data'!$A$1:$E$70,2,FALSE)</f>
        <v>A-493-0083</v>
      </c>
      <c r="D240" s="370" t="str">
        <f>VLOOKUP(Table2[[#This Row],[Course Title]],'TSD-Data'!$A$1:$E$70,3,FALSE)</f>
        <v>339E</v>
      </c>
      <c r="E240" s="414" t="s">
        <v>167</v>
      </c>
      <c r="F240" s="416">
        <v>46107</v>
      </c>
      <c r="G240" s="416">
        <v>46107</v>
      </c>
      <c r="H240" s="426" t="s">
        <v>753</v>
      </c>
      <c r="I240" s="417">
        <v>0.33333333333333331</v>
      </c>
      <c r="J240" s="417"/>
      <c r="K240" s="416"/>
      <c r="L240" s="416"/>
      <c r="M240" s="416"/>
      <c r="N240" s="416"/>
      <c r="O240" s="416"/>
      <c r="P240" s="418" t="s">
        <v>241</v>
      </c>
      <c r="Q240" s="418"/>
      <c r="R240" s="376"/>
      <c r="S240" s="370">
        <f>VLOOKUP(Table2[[#This Row],[Course Title]],'TSD-Data'!$A$1:$E$70,4,FALSE)</f>
        <v>30</v>
      </c>
      <c r="T240" s="377">
        <f>VLOOKUP(Table2[[#This Row],[Course Title]],'TSD-Data'!$A$1:$F$70,6,FALSE)</f>
        <v>8</v>
      </c>
      <c r="U240" s="378">
        <f>VLOOKUP(Table2[[#This Row],[Course Title]],'TSD-Data'!$A$1:$F$70,5,FALSE)</f>
        <v>1</v>
      </c>
      <c r="V240" s="379">
        <v>14</v>
      </c>
      <c r="W240" s="377"/>
      <c r="X240" s="377"/>
      <c r="Y240" s="420"/>
      <c r="Z240" s="420"/>
      <c r="AA240" s="415"/>
      <c r="AB240" s="415"/>
      <c r="AC240" s="421"/>
      <c r="AD240" s="421"/>
      <c r="AE240" s="420">
        <v>302</v>
      </c>
      <c r="AF240" s="415">
        <v>1</v>
      </c>
      <c r="AG240" s="403">
        <v>1</v>
      </c>
      <c r="AH240" s="403">
        <v>1</v>
      </c>
      <c r="AI240" s="403">
        <v>0</v>
      </c>
      <c r="AJ240" s="403">
        <v>8</v>
      </c>
      <c r="AK240" s="415"/>
      <c r="AL240" s="388">
        <v>2</v>
      </c>
      <c r="AM240" s="403" t="str">
        <f>VLOOKUP(Table2[[#This Row],[Course Title]],'TSD-Data'!$A$1:$G$70,7,FALSE)</f>
        <v>N4</v>
      </c>
    </row>
    <row r="241" spans="1:39" s="380" customFormat="1" x14ac:dyDescent="0.25">
      <c r="A241" s="413" t="s">
        <v>711</v>
      </c>
      <c r="B241" s="414" t="s">
        <v>35</v>
      </c>
      <c r="C241" s="370" t="str">
        <f>VLOOKUP(Table2[[#This Row],[Course Title]],'TSD-Data'!$A$1:$E$70,2,FALSE)</f>
        <v>A-493-2501</v>
      </c>
      <c r="D241" s="370" t="str">
        <f>VLOOKUP(Table2[[#This Row],[Course Title]],'TSD-Data'!$A$1:$E$70,3,FALSE)</f>
        <v>05ZE</v>
      </c>
      <c r="E241" s="414" t="s">
        <v>414</v>
      </c>
      <c r="F241" s="416">
        <v>46107</v>
      </c>
      <c r="G241" s="416">
        <v>46107</v>
      </c>
      <c r="H241" s="426" t="s">
        <v>753</v>
      </c>
      <c r="I241" s="417">
        <v>0.33333333333333331</v>
      </c>
      <c r="J241" s="417"/>
      <c r="K241" s="416"/>
      <c r="L241" s="416"/>
      <c r="M241" s="416"/>
      <c r="N241" s="416"/>
      <c r="O241" s="416"/>
      <c r="P241" s="418" t="s">
        <v>241</v>
      </c>
      <c r="Q241" s="418"/>
      <c r="R241" s="376"/>
      <c r="S241" s="370">
        <f>VLOOKUP(Table2[[#This Row],[Course Title]],'TSD-Data'!$A$1:$E$70,4,FALSE)</f>
        <v>30</v>
      </c>
      <c r="T241" s="377">
        <f>VLOOKUP(Table2[[#This Row],[Course Title]],'TSD-Data'!$A$1:$F$70,6,FALSE)</f>
        <v>8</v>
      </c>
      <c r="U241" s="378">
        <f>VLOOKUP(Table2[[#This Row],[Course Title]],'TSD-Data'!$A$1:$F$70,5,FALSE)</f>
        <v>1</v>
      </c>
      <c r="V241" s="379">
        <v>40</v>
      </c>
      <c r="W241" s="377"/>
      <c r="X241" s="377"/>
      <c r="Y241" s="420"/>
      <c r="Z241" s="420"/>
      <c r="AA241" s="415"/>
      <c r="AB241" s="415"/>
      <c r="AC241" s="421"/>
      <c r="AD241" s="421"/>
      <c r="AE241" s="420">
        <v>302</v>
      </c>
      <c r="AF241" s="415">
        <v>1</v>
      </c>
      <c r="AG241" s="403">
        <v>1</v>
      </c>
      <c r="AH241" s="403">
        <v>1</v>
      </c>
      <c r="AI241" s="403">
        <v>0</v>
      </c>
      <c r="AJ241" s="403">
        <v>8</v>
      </c>
      <c r="AK241" s="415"/>
      <c r="AL241" s="388">
        <v>2</v>
      </c>
      <c r="AM241" s="403" t="str">
        <f>VLOOKUP(Table2[[#This Row],[Course Title]],'TSD-Data'!$A$1:$G$70,7,FALSE)</f>
        <v>N4</v>
      </c>
    </row>
    <row r="242" spans="1:39" s="380" customFormat="1" x14ac:dyDescent="0.25">
      <c r="A242" s="368"/>
      <c r="B242" s="432" t="s">
        <v>55</v>
      </c>
      <c r="C242" s="370" t="str">
        <f>VLOOKUP(Table2[[#This Row],[Course Title]],'TSD-Data'!$A$1:$E$70,2,FALSE)</f>
        <v>A-493-0103</v>
      </c>
      <c r="D242" s="370" t="str">
        <f>VLOOKUP(Table2[[#This Row],[Course Title]],'TSD-Data'!$A$1:$E$70,3,FALSE)</f>
        <v>12JY</v>
      </c>
      <c r="E242" s="369" t="s">
        <v>176</v>
      </c>
      <c r="F242" s="371">
        <v>46111</v>
      </c>
      <c r="G242" s="371">
        <v>46115</v>
      </c>
      <c r="H242" s="371" t="s">
        <v>752</v>
      </c>
      <c r="I242" s="372">
        <v>0.33333333333333331</v>
      </c>
      <c r="J242" s="372"/>
      <c r="K242" s="437"/>
      <c r="L242" s="371"/>
      <c r="M242" s="371"/>
      <c r="N242" s="371"/>
      <c r="O242" s="371"/>
      <c r="P242" s="375" t="s">
        <v>289</v>
      </c>
      <c r="Q242" s="375"/>
      <c r="R242" s="376"/>
      <c r="S242" s="370">
        <f>VLOOKUP(Table2[[#This Row],[Course Title]],'TSD-Data'!$A$1:$E$70,4,FALSE)</f>
        <v>25</v>
      </c>
      <c r="T242" s="377">
        <f>VLOOKUP(Table2[[#This Row],[Course Title]],'TSD-Data'!$A$1:$F$70,6,FALSE)</f>
        <v>40</v>
      </c>
      <c r="U242" s="378">
        <f>VLOOKUP(Table2[[#This Row],[Course Title]],'TSD-Data'!$A$1:$F$70,5,FALSE)</f>
        <v>5</v>
      </c>
      <c r="V242" s="379">
        <v>516</v>
      </c>
      <c r="W242" s="377"/>
      <c r="X242" s="377"/>
      <c r="Y242" s="378"/>
      <c r="Z242" s="378"/>
      <c r="AA242" s="370"/>
      <c r="AB242" s="370"/>
      <c r="AC242" s="370"/>
      <c r="AD242" s="370"/>
      <c r="AE242" s="378">
        <f ca="1">Table2[[#This Row],[End Date]]+2-TODAY()</f>
        <v>299</v>
      </c>
      <c r="AF242" s="370">
        <f>IF(ISBLANK(Table2[[#This Row],[Roster Received by]]),1,0)</f>
        <v>1</v>
      </c>
      <c r="AG242" s="377">
        <f ca="1">IF(Table2[[#This Row],[Start Date]]&gt;TODAY(),1,)</f>
        <v>1</v>
      </c>
      <c r="AH242" s="377">
        <f>IF(ISBLANK(Table2[[#This Row],[Primary Instructor]]),0,1)</f>
        <v>1</v>
      </c>
      <c r="AI242" s="377">
        <f>IF(ISBLANK(Table2[[#This Row],[Instructor 2]]),0,1)</f>
        <v>0</v>
      </c>
      <c r="AJ242" s="377">
        <f>Table2[[#This Row],[Course Length (Hours)]]/(SUM(Table2[[#This Row],[1]:[2]]))</f>
        <v>40</v>
      </c>
      <c r="AK242" s="370"/>
      <c r="AL242" s="388">
        <v>2</v>
      </c>
      <c r="AM242" s="403" t="str">
        <f>VLOOKUP(Table2[[#This Row],[Course Title]],'TSD-Data'!$A$1:$G$70,7,FALSE)</f>
        <v>N5</v>
      </c>
    </row>
    <row r="243" spans="1:39" s="380" customFormat="1" x14ac:dyDescent="0.25">
      <c r="A243" s="427" t="s">
        <v>713</v>
      </c>
      <c r="B243" s="401" t="s">
        <v>17</v>
      </c>
      <c r="C243" s="370" t="str">
        <f>VLOOKUP(Table2[[#This Row],[Course Title]],'TSD-Data'!$A$1:$E$70,2,FALSE)</f>
        <v>A-493-0012</v>
      </c>
      <c r="D243" s="370">
        <f>VLOOKUP(Table2[[#This Row],[Course Title]],'TSD-Data'!$A$1:$E$70,3,FALSE)</f>
        <v>3682</v>
      </c>
      <c r="E243" s="401" t="s">
        <v>214</v>
      </c>
      <c r="F243" s="426">
        <v>46111</v>
      </c>
      <c r="G243" s="426">
        <v>46115</v>
      </c>
      <c r="H243" s="426" t="s">
        <v>753</v>
      </c>
      <c r="I243" s="372">
        <v>0.33333333333333331</v>
      </c>
      <c r="J243" s="372"/>
      <c r="K243" s="371"/>
      <c r="L243" s="371"/>
      <c r="M243" s="371"/>
      <c r="N243" s="371"/>
      <c r="O243" s="371"/>
      <c r="P243" s="375" t="s">
        <v>241</v>
      </c>
      <c r="Q243" s="375"/>
      <c r="R243" s="376"/>
      <c r="S243" s="370">
        <f>VLOOKUP(Table2[[#This Row],[Course Title]],'TSD-Data'!$A$1:$E$70,4,FALSE)</f>
        <v>40</v>
      </c>
      <c r="T243" s="377">
        <f>VLOOKUP(Table2[[#This Row],[Course Title]],'TSD-Data'!$A$1:$F$70,6,FALSE)</f>
        <v>40</v>
      </c>
      <c r="U243" s="378">
        <f>VLOOKUP(Table2[[#This Row],[Course Title]],'TSD-Data'!$A$1:$F$70,5,FALSE)</f>
        <v>5</v>
      </c>
      <c r="V243" s="377">
        <v>20</v>
      </c>
      <c r="W243" s="377"/>
      <c r="X243" s="377"/>
      <c r="Y243" s="378"/>
      <c r="Z243" s="378"/>
      <c r="AA243" s="370"/>
      <c r="AB243" s="370"/>
      <c r="AC243" s="370"/>
      <c r="AD243" s="370"/>
      <c r="AE243" s="378" t="e">
        <v>#REF!</v>
      </c>
      <c r="AF243" s="370">
        <v>0</v>
      </c>
      <c r="AG243" s="377" t="e">
        <v>#REF!</v>
      </c>
      <c r="AH243" s="377">
        <v>1</v>
      </c>
      <c r="AI243" s="377">
        <v>1</v>
      </c>
      <c r="AJ243" s="377" t="e">
        <v>#VALUE!</v>
      </c>
      <c r="AK243" s="370"/>
      <c r="AL243" s="388">
        <v>2</v>
      </c>
      <c r="AM243" s="403" t="str">
        <f>VLOOKUP(Table2[[#This Row],[Course Title]],'TSD-Data'!$A$1:$G$70,7,FALSE)</f>
        <v>N4</v>
      </c>
    </row>
    <row r="244" spans="1:39" s="380" customFormat="1" x14ac:dyDescent="0.25">
      <c r="A244" s="368"/>
      <c r="B244" s="432" t="s">
        <v>313</v>
      </c>
      <c r="C244" s="370" t="str">
        <f>VLOOKUP(Table2[[#This Row],[Course Title]],'TSD-Data'!$A$1:$E$70,2,FALSE)</f>
        <v>A-493-0078</v>
      </c>
      <c r="D244" s="370">
        <f>VLOOKUP(Table2[[#This Row],[Course Title]],'TSD-Data'!$A$1:$E$70,3,FALSE)</f>
        <v>1228</v>
      </c>
      <c r="E244" s="369" t="s">
        <v>169</v>
      </c>
      <c r="F244" s="371">
        <v>46111</v>
      </c>
      <c r="G244" s="371">
        <v>46115</v>
      </c>
      <c r="H244" s="371" t="s">
        <v>752</v>
      </c>
      <c r="I244" s="372">
        <v>0.33333333333333331</v>
      </c>
      <c r="J244" s="372"/>
      <c r="K244" s="371"/>
      <c r="L244" s="371"/>
      <c r="M244" s="371"/>
      <c r="N244" s="371"/>
      <c r="O244" s="371"/>
      <c r="P244" s="375" t="s">
        <v>256</v>
      </c>
      <c r="Q244" s="375"/>
      <c r="R244" s="376"/>
      <c r="S244" s="370">
        <f>VLOOKUP(Table2[[#This Row],[Course Title]],'TSD-Data'!$A$1:$E$70,4,FALSE)</f>
        <v>30</v>
      </c>
      <c r="T244" s="377">
        <f>VLOOKUP(Table2[[#This Row],[Course Title]],'TSD-Data'!$A$1:$F$70,6,FALSE)</f>
        <v>32</v>
      </c>
      <c r="U244" s="378">
        <f>VLOOKUP(Table2[[#This Row],[Course Title]],'TSD-Data'!$A$1:$F$70,5,FALSE)</f>
        <v>4</v>
      </c>
      <c r="V244" s="379">
        <v>0</v>
      </c>
      <c r="W244" s="377"/>
      <c r="X244" s="377"/>
      <c r="Y244" s="378"/>
      <c r="Z244" s="378"/>
      <c r="AA244" s="370"/>
      <c r="AB244" s="370"/>
      <c r="AC244" s="370"/>
      <c r="AD244" s="370"/>
      <c r="AE244" s="378">
        <f ca="1">Table2[[#This Row],[End Date]]+2-TODAY()</f>
        <v>299</v>
      </c>
      <c r="AF244" s="370">
        <f>IF(ISBLANK(Table2[[#This Row],[Roster Received by]]),1,0)</f>
        <v>1</v>
      </c>
      <c r="AG244" s="377">
        <f ca="1">IF(Table2[[#This Row],[Start Date]]&gt;TODAY(),1,)</f>
        <v>1</v>
      </c>
      <c r="AH244" s="377">
        <f>IF(ISBLANK(Table2[[#This Row],[Primary Instructor]]),0,1)</f>
        <v>1</v>
      </c>
      <c r="AI244" s="377">
        <f>IF(ISBLANK(Table2[[#This Row],[Instructor 2]]),0,1)</f>
        <v>0</v>
      </c>
      <c r="AJ244" s="377">
        <f>Table2[[#This Row],[Course Length (Hours)]]/(SUM(Table2[[#This Row],[1]:[2]]))</f>
        <v>32</v>
      </c>
      <c r="AK244" s="370"/>
      <c r="AL244" s="388">
        <v>2</v>
      </c>
      <c r="AM244" s="403" t="str">
        <f>VLOOKUP(Table2[[#This Row],[Course Title]],'TSD-Data'!$A$1:$G$70,7,FALSE)</f>
        <v>N5</v>
      </c>
    </row>
    <row r="245" spans="1:39" s="380" customFormat="1" x14ac:dyDescent="0.25">
      <c r="A245" s="368"/>
      <c r="B245" s="435" t="s">
        <v>50</v>
      </c>
      <c r="C245" s="370" t="str">
        <f>VLOOKUP(Table2[[#This Row],[Course Title]],'TSD-Data'!$A$1:$E$70,2,FALSE)</f>
        <v>A-493-0331</v>
      </c>
      <c r="D245" s="370" t="str">
        <f>VLOOKUP(Table2[[#This Row],[Course Title]],'TSD-Data'!$A$1:$E$70,3,FALSE)</f>
        <v>10UG</v>
      </c>
      <c r="E245" s="369" t="s">
        <v>86</v>
      </c>
      <c r="F245" s="371">
        <v>46112</v>
      </c>
      <c r="G245" s="371">
        <v>46113</v>
      </c>
      <c r="H245" s="371" t="s">
        <v>752</v>
      </c>
      <c r="I245" s="372"/>
      <c r="J245" s="372">
        <v>0.5</v>
      </c>
      <c r="K245" s="381">
        <v>0.375</v>
      </c>
      <c r="L245" s="381">
        <v>0.79166666666666663</v>
      </c>
      <c r="M245" s="381">
        <v>0.75</v>
      </c>
      <c r="N245" s="381">
        <v>0.25</v>
      </c>
      <c r="O245" s="381">
        <v>4.1666666666666664E-2</v>
      </c>
      <c r="P245" s="375" t="s">
        <v>233</v>
      </c>
      <c r="Q245" s="375"/>
      <c r="R245" s="376"/>
      <c r="S245" s="370">
        <f>VLOOKUP(Table2[[#This Row],[Course Title]],'TSD-Data'!$A$1:$E$70,4,FALSE)</f>
        <v>45</v>
      </c>
      <c r="T245" s="377">
        <f>VLOOKUP(Table2[[#This Row],[Course Title]],'TSD-Data'!$A$1:$F$70,6,FALSE)</f>
        <v>24</v>
      </c>
      <c r="U245" s="378">
        <f>VLOOKUP(Table2[[#This Row],[Course Title]],'TSD-Data'!$A$1:$F$70,5,FALSE)</f>
        <v>3</v>
      </c>
      <c r="V245" s="379">
        <v>844</v>
      </c>
      <c r="W245" s="377"/>
      <c r="X245" s="377"/>
      <c r="Y245" s="378"/>
      <c r="Z245" s="378"/>
      <c r="AA245" s="370"/>
      <c r="AB245" s="370"/>
      <c r="AC245" s="370"/>
      <c r="AD245" s="370"/>
      <c r="AE245" s="378">
        <f ca="1">Table2[[#This Row],[End Date]]+2-TODAY()</f>
        <v>297</v>
      </c>
      <c r="AF245" s="370">
        <f>IF(ISBLANK(Table2[[#This Row],[Roster Received by]]),1,0)</f>
        <v>1</v>
      </c>
      <c r="AG245" s="377">
        <f ca="1">IF(Table2[[#This Row],[Start Date]]&gt;TODAY(),1,)</f>
        <v>1</v>
      </c>
      <c r="AH245" s="377">
        <f>IF(ISBLANK(Table2[[#This Row],[Primary Instructor]]),0,1)</f>
        <v>1</v>
      </c>
      <c r="AI245" s="377">
        <f>IF(ISBLANK(Table2[[#This Row],[Instructor 2]]),0,1)</f>
        <v>0</v>
      </c>
      <c r="AJ245" s="377">
        <f>Table2[[#This Row],[Course Length (Hours)]]/(SUM(Table2[[#This Row],[1]:[2]]))</f>
        <v>24</v>
      </c>
      <c r="AK245" s="370"/>
      <c r="AL245" s="388">
        <v>2</v>
      </c>
      <c r="AM245" s="403" t="str">
        <f>VLOOKUP(Table2[[#This Row],[Course Title]],'TSD-Data'!$A$1:$G$70,7,FALSE)</f>
        <v>N3</v>
      </c>
    </row>
    <row r="246" spans="1:39" s="380" customFormat="1" x14ac:dyDescent="0.25">
      <c r="A246" s="368"/>
      <c r="B246" s="369" t="s">
        <v>57</v>
      </c>
      <c r="C246" s="370" t="str">
        <f>VLOOKUP(Table2[[#This Row],[Course Title]],'TSD-Data'!$A$1:$E$70,2,FALSE)</f>
        <v>A-493-0099</v>
      </c>
      <c r="D246" s="370" t="str">
        <f>VLOOKUP(Table2[[#This Row],[Course Title]],'TSD-Data'!$A$1:$E$70,3,FALSE)</f>
        <v>12JW</v>
      </c>
      <c r="E246" s="369" t="s">
        <v>86</v>
      </c>
      <c r="F246" s="371">
        <v>46113</v>
      </c>
      <c r="G246" s="371">
        <v>46115</v>
      </c>
      <c r="H246" s="371" t="s">
        <v>752</v>
      </c>
      <c r="I246" s="372"/>
      <c r="J246" s="372">
        <v>0.33333333333333331</v>
      </c>
      <c r="K246" s="372">
        <v>0.20833333333333334</v>
      </c>
      <c r="L246" s="372">
        <v>0.625</v>
      </c>
      <c r="M246" s="372">
        <v>0.54166666666666663</v>
      </c>
      <c r="N246" s="372">
        <v>8.3333333333333329E-2</v>
      </c>
      <c r="O246" s="372">
        <v>0.875</v>
      </c>
      <c r="P246" s="375" t="s">
        <v>277</v>
      </c>
      <c r="Q246" s="375"/>
      <c r="R246" s="376"/>
      <c r="S246" s="370">
        <f>VLOOKUP(Table2[[#This Row],[Course Title]],'TSD-Data'!$A$1:$E$70,4,FALSE)</f>
        <v>45</v>
      </c>
      <c r="T246" s="377">
        <f>VLOOKUP(Table2[[#This Row],[Course Title]],'TSD-Data'!$A$1:$F$70,6,FALSE)</f>
        <v>24</v>
      </c>
      <c r="U246" s="378">
        <f>VLOOKUP(Table2[[#This Row],[Course Title]],'TSD-Data'!$A$1:$F$70,5,FALSE)</f>
        <v>3</v>
      </c>
      <c r="V246" s="379">
        <v>406</v>
      </c>
      <c r="W246" s="377"/>
      <c r="X246" s="377"/>
      <c r="Y246" s="378"/>
      <c r="Z246" s="378"/>
      <c r="AA246" s="370"/>
      <c r="AB246" s="370"/>
      <c r="AC246" s="370"/>
      <c r="AD246" s="370"/>
      <c r="AE246" s="378">
        <f ca="1">Table2[[#This Row],[End Date]]+2-TODAY()</f>
        <v>299</v>
      </c>
      <c r="AF246" s="370">
        <f>IF(ISBLANK(Table2[[#This Row],[Roster Received by]]),1,0)</f>
        <v>1</v>
      </c>
      <c r="AG246" s="377">
        <f ca="1">IF(Table2[[#This Row],[Start Date]]&gt;TODAY(),1,)</f>
        <v>1</v>
      </c>
      <c r="AH246" s="377">
        <f>IF(ISBLANK(Table2[[#This Row],[Primary Instructor]]),0,1)</f>
        <v>1</v>
      </c>
      <c r="AI246" s="377">
        <f>IF(ISBLANK(Table2[[#This Row],[Instructor 2]]),0,1)</f>
        <v>0</v>
      </c>
      <c r="AJ246" s="377">
        <f>Table2[[#This Row],[Course Length (Hours)]]/(SUM(Table2[[#This Row],[1]:[2]]))</f>
        <v>24</v>
      </c>
      <c r="AK246" s="370"/>
      <c r="AL246" s="377">
        <v>3</v>
      </c>
      <c r="AM246" s="403" t="str">
        <f>VLOOKUP(Table2[[#This Row],[Course Title]],'TSD-Data'!$A$1:$G$70,7,FALSE)</f>
        <v>N5</v>
      </c>
    </row>
    <row r="247" spans="1:39" s="380" customFormat="1" x14ac:dyDescent="0.25">
      <c r="A247" s="368"/>
      <c r="B247" s="432" t="s">
        <v>37</v>
      </c>
      <c r="C247" s="370" t="str">
        <f>VLOOKUP(Table2[[#This Row],[Course Title]],'TSD-Data'!$A$1:$E$70,2,FALSE)</f>
        <v>A-493-0665</v>
      </c>
      <c r="D247" s="370" t="str">
        <f>VLOOKUP(Table2[[#This Row],[Course Title]],'TSD-Data'!$A$1:$E$70,3,FALSE)</f>
        <v>10KW</v>
      </c>
      <c r="E247" s="369" t="s">
        <v>86</v>
      </c>
      <c r="F247" s="371">
        <v>46118</v>
      </c>
      <c r="G247" s="371">
        <v>46120</v>
      </c>
      <c r="H247" s="371" t="s">
        <v>752</v>
      </c>
      <c r="I247" s="372"/>
      <c r="J247" s="372">
        <v>0.5</v>
      </c>
      <c r="K247" s="381">
        <v>0.375</v>
      </c>
      <c r="L247" s="381">
        <v>0.79166666666666663</v>
      </c>
      <c r="M247" s="381">
        <v>0.75</v>
      </c>
      <c r="N247" s="381">
        <v>0.25</v>
      </c>
      <c r="O247" s="381">
        <v>4.1666666666666664E-2</v>
      </c>
      <c r="P247" s="375" t="s">
        <v>248</v>
      </c>
      <c r="Q247" s="375"/>
      <c r="R247" s="376"/>
      <c r="S247" s="370">
        <f>VLOOKUP(Table2[[#This Row],[Course Title]],'TSD-Data'!$A$1:$E$70,4,FALSE)</f>
        <v>45</v>
      </c>
      <c r="T247" s="377">
        <f>VLOOKUP(Table2[[#This Row],[Course Title]],'TSD-Data'!$A$1:$F$70,6,FALSE)</f>
        <v>24</v>
      </c>
      <c r="U247" s="378">
        <f>VLOOKUP(Table2[[#This Row],[Course Title]],'TSD-Data'!$A$1:$F$70,5,FALSE)</f>
        <v>3</v>
      </c>
      <c r="V247" s="379">
        <v>337</v>
      </c>
      <c r="W247" s="377"/>
      <c r="X247" s="377"/>
      <c r="Y247" s="378"/>
      <c r="Z247" s="378"/>
      <c r="AA247" s="370"/>
      <c r="AB247" s="370"/>
      <c r="AC247" s="370"/>
      <c r="AD247" s="370"/>
      <c r="AE247" s="378">
        <f ca="1">Table2[[#This Row],[End Date]]+2-TODAY()</f>
        <v>304</v>
      </c>
      <c r="AF247" s="370">
        <f>IF(ISBLANK(Table2[[#This Row],[Roster Received by]]),1,0)</f>
        <v>1</v>
      </c>
      <c r="AG247" s="377">
        <f ca="1">IF(Table2[[#This Row],[Start Date]]&gt;TODAY(),1,)</f>
        <v>1</v>
      </c>
      <c r="AH247" s="377">
        <f>IF(ISBLANK(Table2[[#This Row],[Primary Instructor]]),0,1)</f>
        <v>1</v>
      </c>
      <c r="AI247" s="377">
        <f>IF(ISBLANK(Table2[[#This Row],[Instructor 2]]),0,1)</f>
        <v>0</v>
      </c>
      <c r="AJ247" s="377">
        <f>Table2[[#This Row],[Course Length (Hours)]]/(SUM(Table2[[#This Row],[1]:[2]]))</f>
        <v>24</v>
      </c>
      <c r="AK247" s="370"/>
      <c r="AL247" s="377">
        <v>3</v>
      </c>
      <c r="AM247" s="403" t="str">
        <f>VLOOKUP(Table2[[#This Row],[Course Title]],'TSD-Data'!$A$1:$G$70,7,FALSE)</f>
        <v>N5</v>
      </c>
    </row>
    <row r="248" spans="1:39" s="380" customFormat="1" x14ac:dyDescent="0.25">
      <c r="A248" s="368"/>
      <c r="B248" s="432" t="s">
        <v>55</v>
      </c>
      <c r="C248" s="370" t="str">
        <f>VLOOKUP(Table2[[#This Row],[Course Title]],'TSD-Data'!$A$1:$E$70,2,FALSE)</f>
        <v>A-493-0103</v>
      </c>
      <c r="D248" s="370" t="str">
        <f>VLOOKUP(Table2[[#This Row],[Course Title]],'TSD-Data'!$A$1:$E$70,3,FALSE)</f>
        <v>12JY</v>
      </c>
      <c r="E248" s="369" t="s">
        <v>167</v>
      </c>
      <c r="F248" s="371">
        <v>46118</v>
      </c>
      <c r="G248" s="371">
        <v>46122</v>
      </c>
      <c r="H248" s="371" t="s">
        <v>752</v>
      </c>
      <c r="I248" s="372">
        <v>0.33333333333333331</v>
      </c>
      <c r="J248" s="372"/>
      <c r="K248" s="371"/>
      <c r="L248" s="371"/>
      <c r="M248" s="371"/>
      <c r="N248" s="371"/>
      <c r="O248" s="371"/>
      <c r="P248" s="375" t="s">
        <v>289</v>
      </c>
      <c r="Q248" s="375"/>
      <c r="R248" s="376"/>
      <c r="S248" s="370">
        <f>VLOOKUP(Table2[[#This Row],[Course Title]],'TSD-Data'!$A$1:$E$70,4,FALSE)</f>
        <v>25</v>
      </c>
      <c r="T248" s="377">
        <f>VLOOKUP(Table2[[#This Row],[Course Title]],'TSD-Data'!$A$1:$F$70,6,FALSE)</f>
        <v>40</v>
      </c>
      <c r="U248" s="378">
        <f>VLOOKUP(Table2[[#This Row],[Course Title]],'TSD-Data'!$A$1:$F$70,5,FALSE)</f>
        <v>5</v>
      </c>
      <c r="V248" s="379">
        <v>116</v>
      </c>
      <c r="W248" s="377"/>
      <c r="X248" s="377"/>
      <c r="Y248" s="378"/>
      <c r="Z248" s="378"/>
      <c r="AA248" s="370"/>
      <c r="AB248" s="370"/>
      <c r="AC248" s="370"/>
      <c r="AD248" s="370"/>
      <c r="AE248" s="378">
        <f ca="1">Table2[[#This Row],[End Date]]+2-TODAY()</f>
        <v>306</v>
      </c>
      <c r="AF248" s="370">
        <f>IF(ISBLANK(Table2[[#This Row],[Roster Received by]]),1,0)</f>
        <v>1</v>
      </c>
      <c r="AG248" s="377">
        <f ca="1">IF(Table2[[#This Row],[Start Date]]&gt;TODAY(),1,)</f>
        <v>1</v>
      </c>
      <c r="AH248" s="377">
        <f>IF(ISBLANK(Table2[[#This Row],[Primary Instructor]]),0,1)</f>
        <v>1</v>
      </c>
      <c r="AI248" s="377">
        <f>IF(ISBLANK(Table2[[#This Row],[Instructor 2]]),0,1)</f>
        <v>0</v>
      </c>
      <c r="AJ248" s="377">
        <f>Table2[[#This Row],[Course Length (Hours)]]/(SUM(Table2[[#This Row],[1]:[2]]))</f>
        <v>40</v>
      </c>
      <c r="AK248" s="370"/>
      <c r="AL248" s="377">
        <v>3</v>
      </c>
      <c r="AM248" s="403" t="str">
        <f>VLOOKUP(Table2[[#This Row],[Course Title]],'TSD-Data'!$A$1:$G$70,7,FALSE)</f>
        <v>N5</v>
      </c>
    </row>
    <row r="249" spans="1:39" s="380" customFormat="1" x14ac:dyDescent="0.25">
      <c r="A249" s="427" t="s">
        <v>368</v>
      </c>
      <c r="B249" s="401" t="s">
        <v>17</v>
      </c>
      <c r="C249" s="370" t="str">
        <f>VLOOKUP(Table2[[#This Row],[Course Title]],'TSD-Data'!$A$1:$E$70,2,FALSE)</f>
        <v>A-493-0012</v>
      </c>
      <c r="D249" s="370">
        <f>VLOOKUP(Table2[[#This Row],[Course Title]],'TSD-Data'!$A$1:$E$70,3,FALSE)</f>
        <v>3682</v>
      </c>
      <c r="E249" s="401" t="s">
        <v>168</v>
      </c>
      <c r="F249" s="426">
        <v>46118</v>
      </c>
      <c r="G249" s="426">
        <v>46122</v>
      </c>
      <c r="H249" s="426" t="s">
        <v>753</v>
      </c>
      <c r="I249" s="372">
        <v>0.33333333333333331</v>
      </c>
      <c r="J249" s="372"/>
      <c r="K249" s="371"/>
      <c r="L249" s="371"/>
      <c r="M249" s="371"/>
      <c r="N249" s="371"/>
      <c r="O249" s="371"/>
      <c r="P249" s="375" t="s">
        <v>241</v>
      </c>
      <c r="Q249" s="375"/>
      <c r="R249" s="376"/>
      <c r="S249" s="370">
        <f>VLOOKUP(Table2[[#This Row],[Course Title]],'TSD-Data'!$A$1:$E$70,4,FALSE)</f>
        <v>40</v>
      </c>
      <c r="T249" s="377">
        <f>VLOOKUP(Table2[[#This Row],[Course Title]],'TSD-Data'!$A$1:$F$70,6,FALSE)</f>
        <v>40</v>
      </c>
      <c r="U249" s="378">
        <f>VLOOKUP(Table2[[#This Row],[Course Title]],'TSD-Data'!$A$1:$F$70,5,FALSE)</f>
        <v>5</v>
      </c>
      <c r="V249" s="377">
        <v>13</v>
      </c>
      <c r="W249" s="377"/>
      <c r="X249" s="377"/>
      <c r="Y249" s="378"/>
      <c r="Z249" s="378"/>
      <c r="AA249" s="370"/>
      <c r="AB249" s="370"/>
      <c r="AC249" s="370"/>
      <c r="AD249" s="370"/>
      <c r="AE249" s="378" t="e">
        <v>#REF!</v>
      </c>
      <c r="AF249" s="370">
        <v>0</v>
      </c>
      <c r="AG249" s="377" t="e">
        <v>#REF!</v>
      </c>
      <c r="AH249" s="377">
        <v>1</v>
      </c>
      <c r="AI249" s="377">
        <v>1</v>
      </c>
      <c r="AJ249" s="377" t="e">
        <v>#VALUE!</v>
      </c>
      <c r="AK249" s="370"/>
      <c r="AL249" s="377">
        <v>3</v>
      </c>
      <c r="AM249" s="403" t="str">
        <f>VLOOKUP(Table2[[#This Row],[Course Title]],'TSD-Data'!$A$1:$G$70,7,FALSE)</f>
        <v>N4</v>
      </c>
    </row>
    <row r="250" spans="1:39" s="380" customFormat="1" x14ac:dyDescent="0.25">
      <c r="A250" s="368"/>
      <c r="B250" s="369" t="s">
        <v>39</v>
      </c>
      <c r="C250" s="370" t="str">
        <f>VLOOKUP(Table2[[#This Row],[Course Title]],'TSD-Data'!$A$1:$E$70,2,FALSE)</f>
        <v>A-570-0100</v>
      </c>
      <c r="D250" s="370" t="str">
        <f>VLOOKUP(Table2[[#This Row],[Course Title]],'TSD-Data'!$A$1:$E$70,3,FALSE)</f>
        <v>18B7</v>
      </c>
      <c r="E250" s="369" t="s">
        <v>86</v>
      </c>
      <c r="F250" s="371">
        <v>46118</v>
      </c>
      <c r="G250" s="371">
        <v>46119</v>
      </c>
      <c r="H250" s="371" t="s">
        <v>752</v>
      </c>
      <c r="I250" s="372"/>
      <c r="J250" s="372">
        <v>0.33333333333333331</v>
      </c>
      <c r="K250" s="372">
        <v>0.20833333333333334</v>
      </c>
      <c r="L250" s="372">
        <v>0.625</v>
      </c>
      <c r="M250" s="372">
        <v>0.54166666666666663</v>
      </c>
      <c r="N250" s="372">
        <v>8.3333333333333329E-2</v>
      </c>
      <c r="O250" s="372">
        <v>0.875</v>
      </c>
      <c r="P250" s="375" t="s">
        <v>252</v>
      </c>
      <c r="Q250" s="375"/>
      <c r="R250" s="376"/>
      <c r="S250" s="370">
        <f>VLOOKUP(Table2[[#This Row],[Course Title]],'TSD-Data'!$A$1:$E$70,4,FALSE)</f>
        <v>45</v>
      </c>
      <c r="T250" s="377">
        <f>VLOOKUP(Table2[[#This Row],[Course Title]],'TSD-Data'!$A$1:$F$70,6,FALSE)</f>
        <v>16</v>
      </c>
      <c r="U250" s="378">
        <f>VLOOKUP(Table2[[#This Row],[Course Title]],'TSD-Data'!$A$1:$F$70,5,FALSE)</f>
        <v>2</v>
      </c>
      <c r="V250" s="379">
        <v>326</v>
      </c>
      <c r="W250" s="377"/>
      <c r="X250" s="377"/>
      <c r="Y250" s="378"/>
      <c r="Z250" s="378"/>
      <c r="AA250" s="370"/>
      <c r="AB250" s="370"/>
      <c r="AC250" s="370"/>
      <c r="AD250" s="370"/>
      <c r="AE250" s="378">
        <f ca="1">Table2[[#This Row],[End Date]]+2-TODAY()</f>
        <v>303</v>
      </c>
      <c r="AF250" s="370">
        <f>IF(ISBLANK(Table2[[#This Row],[Roster Received by]]),1,0)</f>
        <v>1</v>
      </c>
      <c r="AG250" s="377">
        <f ca="1">IF(Table2[[#This Row],[Start Date]]&gt;TODAY(),1,)</f>
        <v>1</v>
      </c>
      <c r="AH250" s="377">
        <f>IF(ISBLANK(Table2[[#This Row],[Primary Instructor]]),0,1)</f>
        <v>1</v>
      </c>
      <c r="AI250" s="377">
        <f>IF(ISBLANK(Table2[[#This Row],[Instructor 2]]),0,1)</f>
        <v>0</v>
      </c>
      <c r="AJ250" s="377">
        <f>Table2[[#This Row],[Course Length (Hours)]]/(SUM(Table2[[#This Row],[1]:[2]]))</f>
        <v>16</v>
      </c>
      <c r="AK250" s="370"/>
      <c r="AL250" s="377">
        <v>3</v>
      </c>
      <c r="AM250" s="403" t="str">
        <f>VLOOKUP(Table2[[#This Row],[Course Title]],'TSD-Data'!$A$1:$G$70,7,FALSE)</f>
        <v>N5</v>
      </c>
    </row>
    <row r="251" spans="1:39" s="380" customFormat="1" x14ac:dyDescent="0.25">
      <c r="A251" s="368"/>
      <c r="B251" s="369" t="s">
        <v>53</v>
      </c>
      <c r="C251" s="370" t="str">
        <f>VLOOKUP(Table2[[#This Row],[Course Title]],'TSD-Data'!$A$1:$E$70,2,FALSE)</f>
        <v>A-493-0072</v>
      </c>
      <c r="D251" s="370" t="str">
        <f>VLOOKUP(Table2[[#This Row],[Course Title]],'TSD-Data'!$A$1:$E$70,3,FALSE)</f>
        <v>713U</v>
      </c>
      <c r="E251" s="369" t="s">
        <v>169</v>
      </c>
      <c r="F251" s="371">
        <v>46118</v>
      </c>
      <c r="G251" s="371">
        <v>46122</v>
      </c>
      <c r="H251" s="371" t="s">
        <v>752</v>
      </c>
      <c r="I251" s="372">
        <v>0.33333333333333331</v>
      </c>
      <c r="J251" s="372"/>
      <c r="K251" s="371"/>
      <c r="L251" s="371"/>
      <c r="M251" s="371"/>
      <c r="N251" s="371"/>
      <c r="O251" s="371"/>
      <c r="P251" s="375" t="s">
        <v>238</v>
      </c>
      <c r="Q251" s="375"/>
      <c r="R251" s="376"/>
      <c r="S251" s="370">
        <f>VLOOKUP(Table2[[#This Row],[Course Title]],'TSD-Data'!$A$1:$E$70,4,FALSE)</f>
        <v>30</v>
      </c>
      <c r="T251" s="377">
        <f>VLOOKUP(Table2[[#This Row],[Course Title]],'TSD-Data'!$A$1:$F$70,6,FALSE)</f>
        <v>40</v>
      </c>
      <c r="U251" s="378">
        <f>VLOOKUP(Table2[[#This Row],[Course Title]],'TSD-Data'!$A$1:$F$70,5,FALSE)</f>
        <v>5</v>
      </c>
      <c r="V251" s="379">
        <v>178</v>
      </c>
      <c r="W251" s="377"/>
      <c r="X251" s="377"/>
      <c r="Y251" s="378"/>
      <c r="Z251" s="378"/>
      <c r="AA251" s="370"/>
      <c r="AB251" s="370"/>
      <c r="AC251" s="370"/>
      <c r="AD251" s="370"/>
      <c r="AE251" s="378">
        <f ca="1">Table2[[#This Row],[End Date]]+2-TODAY()</f>
        <v>306</v>
      </c>
      <c r="AF251" s="370">
        <f>IF(ISBLANK(Table2[[#This Row],[Roster Received by]]),1,0)</f>
        <v>1</v>
      </c>
      <c r="AG251" s="377">
        <f ca="1">IF(Table2[[#This Row],[Start Date]]&gt;TODAY(),1,)</f>
        <v>1</v>
      </c>
      <c r="AH251" s="377">
        <f>IF(ISBLANK(Table2[[#This Row],[Primary Instructor]]),0,1)</f>
        <v>1</v>
      </c>
      <c r="AI251" s="377">
        <f>IF(ISBLANK(Table2[[#This Row],[Instructor 2]]),0,1)</f>
        <v>0</v>
      </c>
      <c r="AJ251" s="377">
        <f>Table2[[#This Row],[Course Length (Hours)]]/(SUM(Table2[[#This Row],[1]:[2]]))</f>
        <v>40</v>
      </c>
      <c r="AK251" s="370"/>
      <c r="AL251" s="377">
        <v>3</v>
      </c>
      <c r="AM251" s="403" t="str">
        <f>VLOOKUP(Table2[[#This Row],[Course Title]],'TSD-Data'!$A$1:$G$70,7,FALSE)</f>
        <v>N3</v>
      </c>
    </row>
    <row r="252" spans="1:39" s="380" customFormat="1" x14ac:dyDescent="0.25">
      <c r="A252" s="413"/>
      <c r="B252" s="414" t="s">
        <v>36</v>
      </c>
      <c r="C252" s="370" t="str">
        <f>VLOOKUP(Table2[[#This Row],[Course Title]],'TSD-Data'!$A$1:$E$70,2,FALSE)</f>
        <v>A-493-2017</v>
      </c>
      <c r="D252" s="370" t="str">
        <f>VLOOKUP(Table2[[#This Row],[Course Title]],'TSD-Data'!$A$1:$E$70,3,FALSE)</f>
        <v>12x3</v>
      </c>
      <c r="E252" s="414" t="s">
        <v>168</v>
      </c>
      <c r="F252" s="416">
        <v>46118</v>
      </c>
      <c r="G252" s="416">
        <v>46122</v>
      </c>
      <c r="H252" s="426" t="s">
        <v>753</v>
      </c>
      <c r="I252" s="417">
        <v>0.33333333333333331</v>
      </c>
      <c r="J252" s="417"/>
      <c r="K252" s="416"/>
      <c r="L252" s="416"/>
      <c r="M252" s="416"/>
      <c r="N252" s="416"/>
      <c r="O252" s="416"/>
      <c r="P252" s="418" t="s">
        <v>241</v>
      </c>
      <c r="Q252" s="418"/>
      <c r="R252" s="376"/>
      <c r="S252" s="370">
        <f>VLOOKUP(Table2[[#This Row],[Course Title]],'TSD-Data'!$A$1:$E$70,4,FALSE)</f>
        <v>25</v>
      </c>
      <c r="T252" s="377">
        <f>VLOOKUP(Table2[[#This Row],[Course Title]],'TSD-Data'!$A$1:$F$70,6,FALSE)</f>
        <v>40</v>
      </c>
      <c r="U252" s="378">
        <f>VLOOKUP(Table2[[#This Row],[Course Title]],'TSD-Data'!$A$1:$F$70,5,FALSE)</f>
        <v>5</v>
      </c>
      <c r="V252" s="379">
        <v>40</v>
      </c>
      <c r="W252" s="377"/>
      <c r="X252" s="377"/>
      <c r="Y252" s="420"/>
      <c r="Z252" s="420"/>
      <c r="AA252" s="415"/>
      <c r="AB252" s="415"/>
      <c r="AC252" s="421"/>
      <c r="AD252" s="421"/>
      <c r="AE252" s="420">
        <v>317</v>
      </c>
      <c r="AF252" s="415">
        <v>1</v>
      </c>
      <c r="AG252" s="403">
        <v>1</v>
      </c>
      <c r="AH252" s="403">
        <v>1</v>
      </c>
      <c r="AI252" s="403">
        <v>0</v>
      </c>
      <c r="AJ252" s="403">
        <v>40</v>
      </c>
      <c r="AK252" s="415"/>
      <c r="AL252" s="377">
        <v>3</v>
      </c>
      <c r="AM252" s="403" t="str">
        <f>VLOOKUP(Table2[[#This Row],[Course Title]],'TSD-Data'!$A$1:$G$70,7,FALSE)</f>
        <v>N4</v>
      </c>
    </row>
    <row r="253" spans="1:39" s="380" customFormat="1" x14ac:dyDescent="0.25">
      <c r="A253" s="413"/>
      <c r="B253" s="369" t="s">
        <v>29</v>
      </c>
      <c r="C253" s="370" t="str">
        <f>VLOOKUP(Table2[[#This Row],[Course Title]],'TSD-Data'!$A$1:$E$70,2,FALSE)</f>
        <v>A-493-0077</v>
      </c>
      <c r="D253" s="370" t="str">
        <f>VLOOKUP(Table2[[#This Row],[Course Title]],'TSD-Data'!$A$1:$E$70,3,FALSE)</f>
        <v>0381</v>
      </c>
      <c r="E253" s="414" t="s">
        <v>162</v>
      </c>
      <c r="F253" s="416">
        <v>46119</v>
      </c>
      <c r="G253" s="416">
        <v>46121</v>
      </c>
      <c r="H253" s="426" t="s">
        <v>753</v>
      </c>
      <c r="I253" s="417">
        <v>0.33333333333333331</v>
      </c>
      <c r="J253" s="417"/>
      <c r="K253" s="416"/>
      <c r="L253" s="416"/>
      <c r="M253" s="416"/>
      <c r="N253" s="416"/>
      <c r="O253" s="416"/>
      <c r="P253" s="418" t="s">
        <v>241</v>
      </c>
      <c r="Q253" s="418"/>
      <c r="R253" s="376"/>
      <c r="S253" s="370">
        <f>VLOOKUP(Table2[[#This Row],[Course Title]],'TSD-Data'!$A$1:$E$70,4,FALSE)</f>
        <v>25</v>
      </c>
      <c r="T253" s="377">
        <f>VLOOKUP(Table2[[#This Row],[Course Title]],'TSD-Data'!$A$1:$F$70,6,FALSE)</f>
        <v>24</v>
      </c>
      <c r="U253" s="378">
        <f>VLOOKUP(Table2[[#This Row],[Course Title]],'TSD-Data'!$A$1:$F$70,5,FALSE)</f>
        <v>3</v>
      </c>
      <c r="V253" s="379">
        <v>42</v>
      </c>
      <c r="W253" s="377"/>
      <c r="X253" s="377"/>
      <c r="Y253" s="420"/>
      <c r="Z253" s="420"/>
      <c r="AA253" s="415"/>
      <c r="AB253" s="415"/>
      <c r="AC253" s="421"/>
      <c r="AD253" s="421"/>
      <c r="AE253" s="420">
        <v>316</v>
      </c>
      <c r="AF253" s="415">
        <v>1</v>
      </c>
      <c r="AG253" s="403">
        <v>1</v>
      </c>
      <c r="AH253" s="403">
        <v>1</v>
      </c>
      <c r="AI253" s="403">
        <v>0</v>
      </c>
      <c r="AJ253" s="403">
        <v>24</v>
      </c>
      <c r="AK253" s="415"/>
      <c r="AL253" s="377">
        <v>3</v>
      </c>
      <c r="AM253" s="403" t="str">
        <f>VLOOKUP(Table2[[#This Row],[Course Title]],'TSD-Data'!$A$1:$G$70,7,FALSE)</f>
        <v>N4</v>
      </c>
    </row>
    <row r="254" spans="1:39" s="380" customFormat="1" x14ac:dyDescent="0.25">
      <c r="A254" s="413"/>
      <c r="B254" s="369" t="s">
        <v>29</v>
      </c>
      <c r="C254" s="370" t="str">
        <f>VLOOKUP(Table2[[#This Row],[Course Title]],'TSD-Data'!$A$1:$E$70,2,FALSE)</f>
        <v>A-493-0077</v>
      </c>
      <c r="D254" s="370" t="str">
        <f>VLOOKUP(Table2[[#This Row],[Course Title]],'TSD-Data'!$A$1:$E$70,3,FALSE)</f>
        <v>0381</v>
      </c>
      <c r="E254" s="414" t="s">
        <v>185</v>
      </c>
      <c r="F254" s="416">
        <v>46119</v>
      </c>
      <c r="G254" s="416">
        <v>46121</v>
      </c>
      <c r="H254" s="426" t="s">
        <v>753</v>
      </c>
      <c r="I254" s="417">
        <v>0.33333333333333331</v>
      </c>
      <c r="J254" s="417"/>
      <c r="K254" s="416"/>
      <c r="L254" s="416"/>
      <c r="M254" s="416"/>
      <c r="N254" s="416"/>
      <c r="O254" s="416"/>
      <c r="P254" s="418" t="s">
        <v>241</v>
      </c>
      <c r="Q254" s="418"/>
      <c r="R254" s="376"/>
      <c r="S254" s="370">
        <f>VLOOKUP(Table2[[#This Row],[Course Title]],'TSD-Data'!$A$1:$E$70,4,FALSE)</f>
        <v>25</v>
      </c>
      <c r="T254" s="377">
        <f>VLOOKUP(Table2[[#This Row],[Course Title]],'TSD-Data'!$A$1:$F$70,6,FALSE)</f>
        <v>24</v>
      </c>
      <c r="U254" s="378">
        <f>VLOOKUP(Table2[[#This Row],[Course Title]],'TSD-Data'!$A$1:$F$70,5,FALSE)</f>
        <v>3</v>
      </c>
      <c r="V254" s="379">
        <v>37</v>
      </c>
      <c r="W254" s="377"/>
      <c r="X254" s="377"/>
      <c r="Y254" s="420"/>
      <c r="Z254" s="420"/>
      <c r="AA254" s="415"/>
      <c r="AB254" s="415"/>
      <c r="AC254" s="421"/>
      <c r="AD254" s="421"/>
      <c r="AE254" s="420">
        <v>316</v>
      </c>
      <c r="AF254" s="415">
        <v>1</v>
      </c>
      <c r="AG254" s="403">
        <v>1</v>
      </c>
      <c r="AH254" s="403">
        <v>1</v>
      </c>
      <c r="AI254" s="403">
        <v>0</v>
      </c>
      <c r="AJ254" s="403">
        <v>24</v>
      </c>
      <c r="AK254" s="415"/>
      <c r="AL254" s="377">
        <v>3</v>
      </c>
      <c r="AM254" s="403" t="str">
        <f>VLOOKUP(Table2[[#This Row],[Course Title]],'TSD-Data'!$A$1:$G$70,7,FALSE)</f>
        <v>N4</v>
      </c>
    </row>
    <row r="255" spans="1:39" s="380" customFormat="1" x14ac:dyDescent="0.25">
      <c r="A255" s="413"/>
      <c r="B255" s="369" t="s">
        <v>31</v>
      </c>
      <c r="C255" s="370" t="str">
        <f>VLOOKUP(Table2[[#This Row],[Course Title]],'TSD-Data'!$A$1:$E$70,2,FALSE)</f>
        <v>A-493-0083</v>
      </c>
      <c r="D255" s="370" t="str">
        <f>VLOOKUP(Table2[[#This Row],[Course Title]],'TSD-Data'!$A$1:$E$70,3,FALSE)</f>
        <v>339E</v>
      </c>
      <c r="E255" s="414" t="s">
        <v>162</v>
      </c>
      <c r="F255" s="416">
        <v>46122</v>
      </c>
      <c r="G255" s="416">
        <v>46122</v>
      </c>
      <c r="H255" s="426" t="s">
        <v>753</v>
      </c>
      <c r="I255" s="417">
        <v>0.33333333333333331</v>
      </c>
      <c r="J255" s="417"/>
      <c r="K255" s="416"/>
      <c r="L255" s="416"/>
      <c r="M255" s="416"/>
      <c r="N255" s="416"/>
      <c r="O255" s="416"/>
      <c r="P255" s="418" t="s">
        <v>241</v>
      </c>
      <c r="Q255" s="418"/>
      <c r="R255" s="376"/>
      <c r="S255" s="370">
        <f>VLOOKUP(Table2[[#This Row],[Course Title]],'TSD-Data'!$A$1:$E$70,4,FALSE)</f>
        <v>30</v>
      </c>
      <c r="T255" s="377">
        <f>VLOOKUP(Table2[[#This Row],[Course Title]],'TSD-Data'!$A$1:$F$70,6,FALSE)</f>
        <v>8</v>
      </c>
      <c r="U255" s="378">
        <f>VLOOKUP(Table2[[#This Row],[Course Title]],'TSD-Data'!$A$1:$F$70,5,FALSE)</f>
        <v>1</v>
      </c>
      <c r="V255" s="379">
        <v>30</v>
      </c>
      <c r="W255" s="377"/>
      <c r="X255" s="377"/>
      <c r="Y255" s="420"/>
      <c r="Z255" s="420"/>
      <c r="AA255" s="415"/>
      <c r="AB255" s="415"/>
      <c r="AC255" s="421"/>
      <c r="AD255" s="421"/>
      <c r="AE255" s="420">
        <v>317</v>
      </c>
      <c r="AF255" s="415">
        <v>1</v>
      </c>
      <c r="AG255" s="403">
        <v>1</v>
      </c>
      <c r="AH255" s="403">
        <v>1</v>
      </c>
      <c r="AI255" s="403">
        <v>0</v>
      </c>
      <c r="AJ255" s="403">
        <v>8</v>
      </c>
      <c r="AK255" s="415"/>
      <c r="AL255" s="377">
        <v>3</v>
      </c>
      <c r="AM255" s="403" t="str">
        <f>VLOOKUP(Table2[[#This Row],[Course Title]],'TSD-Data'!$A$1:$G$70,7,FALSE)</f>
        <v>N4</v>
      </c>
    </row>
    <row r="256" spans="1:39" s="380" customFormat="1" x14ac:dyDescent="0.25">
      <c r="A256" s="413"/>
      <c r="B256" s="369" t="s">
        <v>31</v>
      </c>
      <c r="C256" s="370" t="str">
        <f>VLOOKUP(Table2[[#This Row],[Course Title]],'TSD-Data'!$A$1:$E$70,2,FALSE)</f>
        <v>A-493-0083</v>
      </c>
      <c r="D256" s="370" t="str">
        <f>VLOOKUP(Table2[[#This Row],[Course Title]],'TSD-Data'!$A$1:$E$70,3,FALSE)</f>
        <v>339E</v>
      </c>
      <c r="E256" s="414" t="s">
        <v>185</v>
      </c>
      <c r="F256" s="416">
        <v>46122</v>
      </c>
      <c r="G256" s="416">
        <v>46122</v>
      </c>
      <c r="H256" s="426" t="s">
        <v>753</v>
      </c>
      <c r="I256" s="417">
        <v>0.33333333333333331</v>
      </c>
      <c r="J256" s="417"/>
      <c r="K256" s="416"/>
      <c r="L256" s="416"/>
      <c r="M256" s="416"/>
      <c r="N256" s="416"/>
      <c r="O256" s="416"/>
      <c r="P256" s="418" t="s">
        <v>241</v>
      </c>
      <c r="Q256" s="418"/>
      <c r="R256" s="376"/>
      <c r="S256" s="370">
        <f>VLOOKUP(Table2[[#This Row],[Course Title]],'TSD-Data'!$A$1:$E$70,4,FALSE)</f>
        <v>30</v>
      </c>
      <c r="T256" s="377">
        <f>VLOOKUP(Table2[[#This Row],[Course Title]],'TSD-Data'!$A$1:$F$70,6,FALSE)</f>
        <v>8</v>
      </c>
      <c r="U256" s="378">
        <f>VLOOKUP(Table2[[#This Row],[Course Title]],'TSD-Data'!$A$1:$F$70,5,FALSE)</f>
        <v>1</v>
      </c>
      <c r="V256" s="379">
        <v>35</v>
      </c>
      <c r="W256" s="377"/>
      <c r="X256" s="377"/>
      <c r="Y256" s="420"/>
      <c r="Z256" s="420"/>
      <c r="AA256" s="415"/>
      <c r="AB256" s="415"/>
      <c r="AC256" s="421"/>
      <c r="AD256" s="421"/>
      <c r="AE256" s="420">
        <v>317</v>
      </c>
      <c r="AF256" s="415">
        <v>1</v>
      </c>
      <c r="AG256" s="403">
        <v>1</v>
      </c>
      <c r="AH256" s="403">
        <v>1</v>
      </c>
      <c r="AI256" s="403">
        <v>0</v>
      </c>
      <c r="AJ256" s="403">
        <v>8</v>
      </c>
      <c r="AK256" s="415"/>
      <c r="AL256" s="377">
        <v>3</v>
      </c>
      <c r="AM256" s="403" t="str">
        <f>VLOOKUP(Table2[[#This Row],[Course Title]],'TSD-Data'!$A$1:$G$70,7,FALSE)</f>
        <v>N4</v>
      </c>
    </row>
    <row r="257" spans="1:39" s="380" customFormat="1" x14ac:dyDescent="0.25">
      <c r="A257" s="369" t="s">
        <v>571</v>
      </c>
      <c r="B257" s="435" t="s">
        <v>358</v>
      </c>
      <c r="C257" s="370" t="str">
        <f>VLOOKUP(Table2[[#This Row],[Course Title]],'TSD-Data'!$A$1:$E$70,2,FALSE)</f>
        <v>Function</v>
      </c>
      <c r="D257" s="370" t="str">
        <f>VLOOKUP(Table2[[#This Row],[Course Title]],'TSD-Data'!$A$1:$E$70,3,FALSE)</f>
        <v>Function</v>
      </c>
      <c r="E257" s="369" t="s">
        <v>170</v>
      </c>
      <c r="F257" s="437">
        <v>46125</v>
      </c>
      <c r="G257" s="437">
        <v>46125</v>
      </c>
      <c r="H257" s="371" t="s">
        <v>788</v>
      </c>
      <c r="I257" s="372"/>
      <c r="J257" s="372"/>
      <c r="K257" s="372"/>
      <c r="L257" s="372"/>
      <c r="M257" s="372"/>
      <c r="N257" s="372"/>
      <c r="O257" s="372"/>
      <c r="P257" s="375" t="s">
        <v>322</v>
      </c>
      <c r="Q257" s="375"/>
      <c r="R257" s="398"/>
      <c r="S257" s="370">
        <f>VLOOKUP(Table2[[#This Row],[Course Title]],'TSD-Data'!$A$1:$E$70,4,FALSE)</f>
        <v>0</v>
      </c>
      <c r="T257" s="377">
        <f>VLOOKUP(Table2[[#This Row],[Course Title]],'TSD-Data'!$A$1:$F$70,6,FALSE)</f>
        <v>0</v>
      </c>
      <c r="U257" s="378">
        <f>VLOOKUP(Table2[[#This Row],[Course Title]],'TSD-Data'!$A$1:$F$70,5,FALSE)</f>
        <v>0</v>
      </c>
      <c r="V257" s="379">
        <v>0</v>
      </c>
      <c r="W257" s="377">
        <f>Table2[[#This Row],[Quotas]]-Table2[[#This Row],[Open Quotas]]</f>
        <v>0</v>
      </c>
      <c r="X257" s="377">
        <v>0</v>
      </c>
      <c r="Y257" s="377">
        <v>0</v>
      </c>
      <c r="Z257" s="377">
        <v>0</v>
      </c>
      <c r="AA257" s="377">
        <v>0</v>
      </c>
      <c r="AB257" s="377">
        <v>0</v>
      </c>
      <c r="AC257" s="377">
        <v>0</v>
      </c>
      <c r="AD257" s="377" t="s">
        <v>247</v>
      </c>
      <c r="AE257" s="379">
        <f ca="1">Table2[[#This Row],[End Date]]+2-TODAY()</f>
        <v>309</v>
      </c>
      <c r="AF257" s="377">
        <f>IF(ISBLANK(Table2[[#This Row],[Roster Received by]]),1,0)</f>
        <v>0</v>
      </c>
      <c r="AG257" s="377">
        <f ca="1">IF(Table2[[#This Row],[Start Date]]&gt;TODAY(),1,)</f>
        <v>1</v>
      </c>
      <c r="AH257" s="377">
        <f>IF(ISBLANK(Table2[[#This Row],[Primary Instructor]]),0,1)</f>
        <v>1</v>
      </c>
      <c r="AI257" s="377">
        <f>IF(ISBLANK(Table2[[#This Row],[Instructor 2]]),0,1)</f>
        <v>0</v>
      </c>
      <c r="AJ257" s="377">
        <f>Table2[[#This Row],[Course Length (Hours)]]/(SUM(Table2[[#This Row],[1]:[2]]))</f>
        <v>0</v>
      </c>
      <c r="AK257" s="377"/>
      <c r="AL257" s="377">
        <v>3</v>
      </c>
      <c r="AM257" s="403" t="str">
        <f>VLOOKUP(Table2[[#This Row],[Course Title]],'TSD-Data'!$A$1:$G$70,7,FALSE)</f>
        <v>TSD</v>
      </c>
    </row>
    <row r="258" spans="1:39" s="380" customFormat="1" x14ac:dyDescent="0.25">
      <c r="A258" s="368"/>
      <c r="B258" s="432" t="s">
        <v>55</v>
      </c>
      <c r="C258" s="370" t="str">
        <f>VLOOKUP(Table2[[#This Row],[Course Title]],'TSD-Data'!$A$1:$E$70,2,FALSE)</f>
        <v>A-493-0103</v>
      </c>
      <c r="D258" s="370" t="str">
        <f>VLOOKUP(Table2[[#This Row],[Course Title]],'TSD-Data'!$A$1:$E$70,3,FALSE)</f>
        <v>12JY</v>
      </c>
      <c r="E258" s="369" t="s">
        <v>165</v>
      </c>
      <c r="F258" s="371">
        <v>46125</v>
      </c>
      <c r="G258" s="371">
        <v>46129</v>
      </c>
      <c r="H258" s="371" t="s">
        <v>752</v>
      </c>
      <c r="I258" s="372">
        <v>0.33333333333333331</v>
      </c>
      <c r="J258" s="372"/>
      <c r="K258" s="371"/>
      <c r="L258" s="371"/>
      <c r="M258" s="371"/>
      <c r="N258" s="371"/>
      <c r="O258" s="371"/>
      <c r="P258" s="375" t="s">
        <v>289</v>
      </c>
      <c r="Q258" s="375"/>
      <c r="R258" s="376"/>
      <c r="S258" s="370">
        <f>VLOOKUP(Table2[[#This Row],[Course Title]],'TSD-Data'!$A$1:$E$70,4,FALSE)</f>
        <v>25</v>
      </c>
      <c r="T258" s="377">
        <f>VLOOKUP(Table2[[#This Row],[Course Title]],'TSD-Data'!$A$1:$F$70,6,FALSE)</f>
        <v>40</v>
      </c>
      <c r="U258" s="378">
        <f>VLOOKUP(Table2[[#This Row],[Course Title]],'TSD-Data'!$A$1:$F$70,5,FALSE)</f>
        <v>5</v>
      </c>
      <c r="V258" s="379">
        <v>116</v>
      </c>
      <c r="W258" s="377"/>
      <c r="X258" s="377"/>
      <c r="Y258" s="378"/>
      <c r="Z258" s="378"/>
      <c r="AA258" s="370"/>
      <c r="AB258" s="370"/>
      <c r="AC258" s="370"/>
      <c r="AD258" s="370"/>
      <c r="AE258" s="378">
        <f ca="1">Table2[[#This Row],[End Date]]+2-TODAY()</f>
        <v>313</v>
      </c>
      <c r="AF258" s="370">
        <f>IF(ISBLANK(Table2[[#This Row],[Roster Received by]]),1,0)</f>
        <v>1</v>
      </c>
      <c r="AG258" s="377">
        <f ca="1">IF(Table2[[#This Row],[Start Date]]&gt;TODAY(),1,)</f>
        <v>1</v>
      </c>
      <c r="AH258" s="377">
        <f>IF(ISBLANK(Table2[[#This Row],[Primary Instructor]]),0,1)</f>
        <v>1</v>
      </c>
      <c r="AI258" s="377">
        <f>IF(ISBLANK(Table2[[#This Row],[Instructor 2]]),0,1)</f>
        <v>0</v>
      </c>
      <c r="AJ258" s="377">
        <f>Table2[[#This Row],[Course Length (Hours)]]/(SUM(Table2[[#This Row],[1]:[2]]))</f>
        <v>40</v>
      </c>
      <c r="AK258" s="370"/>
      <c r="AL258" s="377">
        <v>3</v>
      </c>
      <c r="AM258" s="403" t="str">
        <f>VLOOKUP(Table2[[#This Row],[Course Title]],'TSD-Data'!$A$1:$G$70,7,FALSE)</f>
        <v>N5</v>
      </c>
    </row>
    <row r="259" spans="1:39" s="380" customFormat="1" x14ac:dyDescent="0.25">
      <c r="A259" s="368"/>
      <c r="B259" s="432" t="s">
        <v>55</v>
      </c>
      <c r="C259" s="370" t="str">
        <f>VLOOKUP(Table2[[#This Row],[Course Title]],'TSD-Data'!$A$1:$E$70,2,FALSE)</f>
        <v>A-493-0103</v>
      </c>
      <c r="D259" s="370" t="str">
        <f>VLOOKUP(Table2[[#This Row],[Course Title]],'TSD-Data'!$A$1:$E$70,3,FALSE)</f>
        <v>12JY</v>
      </c>
      <c r="E259" s="369" t="s">
        <v>174</v>
      </c>
      <c r="F259" s="371">
        <v>46125</v>
      </c>
      <c r="G259" s="371">
        <v>46129</v>
      </c>
      <c r="H259" s="371" t="s">
        <v>752</v>
      </c>
      <c r="I259" s="372">
        <v>0.33333333333333331</v>
      </c>
      <c r="J259" s="372"/>
      <c r="K259" s="371"/>
      <c r="L259" s="371"/>
      <c r="M259" s="371"/>
      <c r="N259" s="371"/>
      <c r="O259" s="371"/>
      <c r="P259" s="375" t="s">
        <v>289</v>
      </c>
      <c r="Q259" s="375"/>
      <c r="R259" s="376"/>
      <c r="S259" s="370">
        <f>VLOOKUP(Table2[[#This Row],[Course Title]],'TSD-Data'!$A$1:$E$70,4,FALSE)</f>
        <v>25</v>
      </c>
      <c r="T259" s="377">
        <f>VLOOKUP(Table2[[#This Row],[Course Title]],'TSD-Data'!$A$1:$F$70,6,FALSE)</f>
        <v>40</v>
      </c>
      <c r="U259" s="378">
        <f>VLOOKUP(Table2[[#This Row],[Course Title]],'TSD-Data'!$A$1:$F$70,5,FALSE)</f>
        <v>5</v>
      </c>
      <c r="V259" s="379">
        <v>84</v>
      </c>
      <c r="W259" s="377"/>
      <c r="X259" s="377"/>
      <c r="Y259" s="378"/>
      <c r="Z259" s="378"/>
      <c r="AA259" s="370"/>
      <c r="AB259" s="370"/>
      <c r="AC259" s="370"/>
      <c r="AD259" s="370"/>
      <c r="AE259" s="378">
        <f ca="1">Table2[[#This Row],[End Date]]+2-TODAY()</f>
        <v>313</v>
      </c>
      <c r="AF259" s="370">
        <f>IF(ISBLANK(Table2[[#This Row],[Roster Received by]]),1,0)</f>
        <v>1</v>
      </c>
      <c r="AG259" s="377">
        <f ca="1">IF(Table2[[#This Row],[Start Date]]&gt;TODAY(),1,)</f>
        <v>1</v>
      </c>
      <c r="AH259" s="377">
        <f>IF(ISBLANK(Table2[[#This Row],[Primary Instructor]]),0,1)</f>
        <v>1</v>
      </c>
      <c r="AI259" s="377">
        <f>IF(ISBLANK(Table2[[#This Row],[Instructor 2]]),0,1)</f>
        <v>0</v>
      </c>
      <c r="AJ259" s="377">
        <f>Table2[[#This Row],[Course Length (Hours)]]/(SUM(Table2[[#This Row],[1]:[2]]))</f>
        <v>40</v>
      </c>
      <c r="AK259" s="370"/>
      <c r="AL259" s="377">
        <v>3</v>
      </c>
      <c r="AM259" s="403" t="str">
        <f>VLOOKUP(Table2[[#This Row],[Course Title]],'TSD-Data'!$A$1:$G$70,7,FALSE)</f>
        <v>N5</v>
      </c>
    </row>
    <row r="260" spans="1:39" s="380" customFormat="1" x14ac:dyDescent="0.25">
      <c r="A260" s="368"/>
      <c r="B260" s="369" t="s">
        <v>56</v>
      </c>
      <c r="C260" s="370" t="str">
        <f>VLOOKUP(Table2[[#This Row],[Course Title]],'TSD-Data'!$A$1:$E$70,2,FALSE)</f>
        <v>A-493-0021</v>
      </c>
      <c r="D260" s="370" t="str">
        <f>VLOOKUP(Table2[[#This Row],[Course Title]],'TSD-Data'!$A$1:$E$70,3,FALSE)</f>
        <v>18BN</v>
      </c>
      <c r="E260" s="369" t="s">
        <v>169</v>
      </c>
      <c r="F260" s="371">
        <v>46125</v>
      </c>
      <c r="G260" s="371">
        <v>46129</v>
      </c>
      <c r="H260" s="371" t="s">
        <v>752</v>
      </c>
      <c r="I260" s="372">
        <v>0.33333333333333331</v>
      </c>
      <c r="J260" s="372"/>
      <c r="K260" s="371"/>
      <c r="L260" s="371"/>
      <c r="M260" s="371"/>
      <c r="N260" s="371"/>
      <c r="O260" s="371"/>
      <c r="P260" s="375" t="s">
        <v>289</v>
      </c>
      <c r="Q260" s="375"/>
      <c r="R260" s="376"/>
      <c r="S260" s="370">
        <f>VLOOKUP(Table2[[#This Row],[Course Title]],'TSD-Data'!$A$1:$E$70,4,FALSE)</f>
        <v>35</v>
      </c>
      <c r="T260" s="377">
        <f>VLOOKUP(Table2[[#This Row],[Course Title]],'TSD-Data'!$A$1:$F$70,6,FALSE)</f>
        <v>30</v>
      </c>
      <c r="U260" s="378">
        <f>VLOOKUP(Table2[[#This Row],[Course Title]],'TSD-Data'!$A$1:$F$70,5,FALSE)</f>
        <v>5</v>
      </c>
      <c r="V260" s="379">
        <v>33</v>
      </c>
      <c r="W260" s="377"/>
      <c r="X260" s="377"/>
      <c r="Y260" s="378"/>
      <c r="Z260" s="378"/>
      <c r="AA260" s="370"/>
      <c r="AB260" s="370"/>
      <c r="AC260" s="370"/>
      <c r="AD260" s="370"/>
      <c r="AE260" s="378">
        <f ca="1">Table2[[#This Row],[End Date]]+2-TODAY()</f>
        <v>313</v>
      </c>
      <c r="AF260" s="370">
        <f>IF(ISBLANK(Table2[[#This Row],[Roster Received by]]),1,0)</f>
        <v>1</v>
      </c>
      <c r="AG260" s="377">
        <f ca="1">IF(Table2[[#This Row],[Start Date]]&gt;TODAY(),1,)</f>
        <v>1</v>
      </c>
      <c r="AH260" s="377">
        <f>IF(ISBLANK(Table2[[#This Row],[Primary Instructor]]),0,1)</f>
        <v>1</v>
      </c>
      <c r="AI260" s="377">
        <f>IF(ISBLANK(Table2[[#This Row],[Instructor 2]]),0,1)</f>
        <v>0</v>
      </c>
      <c r="AJ260" s="377">
        <f>Table2[[#This Row],[Course Length (Hours)]]/(SUM(Table2[[#This Row],[1]:[2]]))</f>
        <v>30</v>
      </c>
      <c r="AK260" s="370"/>
      <c r="AL260" s="377">
        <v>3</v>
      </c>
      <c r="AM260" s="403" t="str">
        <f>VLOOKUP(Table2[[#This Row],[Course Title]],'TSD-Data'!$A$1:$G$70,7,FALSE)</f>
        <v>N5</v>
      </c>
    </row>
    <row r="261" spans="1:39" s="380" customFormat="1" x14ac:dyDescent="0.25">
      <c r="A261" s="427" t="s">
        <v>714</v>
      </c>
      <c r="B261" s="401" t="s">
        <v>17</v>
      </c>
      <c r="C261" s="370" t="str">
        <f>VLOOKUP(Table2[[#This Row],[Course Title]],'TSD-Data'!$A$1:$E$70,2,FALSE)</f>
        <v>A-493-0012</v>
      </c>
      <c r="D261" s="370">
        <f>VLOOKUP(Table2[[#This Row],[Course Title]],'TSD-Data'!$A$1:$E$70,3,FALSE)</f>
        <v>3682</v>
      </c>
      <c r="E261" s="401" t="s">
        <v>257</v>
      </c>
      <c r="F261" s="426">
        <v>46125</v>
      </c>
      <c r="G261" s="426">
        <v>46129</v>
      </c>
      <c r="H261" s="426" t="s">
        <v>753</v>
      </c>
      <c r="I261" s="372">
        <v>0.33333333333333331</v>
      </c>
      <c r="J261" s="372"/>
      <c r="K261" s="437"/>
      <c r="L261" s="371"/>
      <c r="M261" s="371"/>
      <c r="N261" s="371"/>
      <c r="O261" s="371"/>
      <c r="P261" s="375" t="s">
        <v>241</v>
      </c>
      <c r="Q261" s="375"/>
      <c r="R261" s="376"/>
      <c r="S261" s="370">
        <f>VLOOKUP(Table2[[#This Row],[Course Title]],'TSD-Data'!$A$1:$E$70,4,FALSE)</f>
        <v>40</v>
      </c>
      <c r="T261" s="377">
        <f>VLOOKUP(Table2[[#This Row],[Course Title]],'TSD-Data'!$A$1:$F$70,6,FALSE)</f>
        <v>40</v>
      </c>
      <c r="U261" s="378">
        <f>VLOOKUP(Table2[[#This Row],[Course Title]],'TSD-Data'!$A$1:$F$70,5,FALSE)</f>
        <v>5</v>
      </c>
      <c r="V261" s="377">
        <v>40</v>
      </c>
      <c r="W261" s="377"/>
      <c r="X261" s="377"/>
      <c r="Y261" s="378"/>
      <c r="Z261" s="378"/>
      <c r="AA261" s="370"/>
      <c r="AB261" s="370"/>
      <c r="AC261" s="370"/>
      <c r="AD261" s="370"/>
      <c r="AE261" s="378" t="e">
        <v>#REF!</v>
      </c>
      <c r="AF261" s="370">
        <v>0</v>
      </c>
      <c r="AG261" s="377" t="e">
        <v>#REF!</v>
      </c>
      <c r="AH261" s="377">
        <v>1</v>
      </c>
      <c r="AI261" s="377">
        <v>1</v>
      </c>
      <c r="AJ261" s="377" t="e">
        <v>#VALUE!</v>
      </c>
      <c r="AK261" s="370"/>
      <c r="AL261" s="377">
        <v>3</v>
      </c>
      <c r="AM261" s="403" t="str">
        <f>VLOOKUP(Table2[[#This Row],[Course Title]],'TSD-Data'!$A$1:$G$70,7,FALSE)</f>
        <v>N4</v>
      </c>
    </row>
    <row r="262" spans="1:39" s="380" customFormat="1" x14ac:dyDescent="0.25">
      <c r="A262" s="427" t="s">
        <v>715</v>
      </c>
      <c r="B262" s="401" t="s">
        <v>17</v>
      </c>
      <c r="C262" s="370" t="str">
        <f>VLOOKUP(Table2[[#This Row],[Course Title]],'TSD-Data'!$A$1:$E$70,2,FALSE)</f>
        <v>A-493-0012</v>
      </c>
      <c r="D262" s="370">
        <f>VLOOKUP(Table2[[#This Row],[Course Title]],'TSD-Data'!$A$1:$E$70,3,FALSE)</f>
        <v>3682</v>
      </c>
      <c r="E262" s="401" t="s">
        <v>160</v>
      </c>
      <c r="F262" s="426">
        <v>46125</v>
      </c>
      <c r="G262" s="426">
        <v>46129</v>
      </c>
      <c r="H262" s="426" t="s">
        <v>753</v>
      </c>
      <c r="I262" s="372">
        <v>0.33333333333333331</v>
      </c>
      <c r="J262" s="372"/>
      <c r="K262" s="371"/>
      <c r="L262" s="371"/>
      <c r="M262" s="371"/>
      <c r="N262" s="371"/>
      <c r="O262" s="371"/>
      <c r="P262" s="375" t="s">
        <v>241</v>
      </c>
      <c r="Q262" s="375"/>
      <c r="R262" s="376"/>
      <c r="S262" s="370">
        <f>VLOOKUP(Table2[[#This Row],[Course Title]],'TSD-Data'!$A$1:$E$70,4,FALSE)</f>
        <v>40</v>
      </c>
      <c r="T262" s="377">
        <f>VLOOKUP(Table2[[#This Row],[Course Title]],'TSD-Data'!$A$1:$F$70,6,FALSE)</f>
        <v>40</v>
      </c>
      <c r="U262" s="378">
        <f>VLOOKUP(Table2[[#This Row],[Course Title]],'TSD-Data'!$A$1:$F$70,5,FALSE)</f>
        <v>5</v>
      </c>
      <c r="V262" s="377">
        <v>80</v>
      </c>
      <c r="W262" s="377"/>
      <c r="X262" s="377"/>
      <c r="Y262" s="378"/>
      <c r="Z262" s="378"/>
      <c r="AA262" s="370"/>
      <c r="AB262" s="370"/>
      <c r="AC262" s="370"/>
      <c r="AD262" s="370"/>
      <c r="AE262" s="378" t="e">
        <v>#REF!</v>
      </c>
      <c r="AF262" s="370">
        <v>0</v>
      </c>
      <c r="AG262" s="377" t="e">
        <v>#REF!</v>
      </c>
      <c r="AH262" s="377">
        <v>1</v>
      </c>
      <c r="AI262" s="377">
        <v>1</v>
      </c>
      <c r="AJ262" s="377" t="e">
        <v>#VALUE!</v>
      </c>
      <c r="AK262" s="370"/>
      <c r="AL262" s="377">
        <v>3</v>
      </c>
      <c r="AM262" s="403" t="str">
        <f>VLOOKUP(Table2[[#This Row],[Course Title]],'TSD-Data'!$A$1:$G$70,7,FALSE)</f>
        <v>N4</v>
      </c>
    </row>
    <row r="263" spans="1:39" s="380" customFormat="1" x14ac:dyDescent="0.25">
      <c r="A263" s="427" t="s">
        <v>716</v>
      </c>
      <c r="B263" s="401" t="s">
        <v>17</v>
      </c>
      <c r="C263" s="370" t="str">
        <f>VLOOKUP(Table2[[#This Row],[Course Title]],'TSD-Data'!$A$1:$E$70,2,FALSE)</f>
        <v>A-493-0012</v>
      </c>
      <c r="D263" s="370">
        <f>VLOOKUP(Table2[[#This Row],[Course Title]],'TSD-Data'!$A$1:$E$70,3,FALSE)</f>
        <v>3682</v>
      </c>
      <c r="E263" s="401" t="s">
        <v>158</v>
      </c>
      <c r="F263" s="426">
        <v>46125</v>
      </c>
      <c r="G263" s="426">
        <v>46129</v>
      </c>
      <c r="H263" s="426" t="s">
        <v>753</v>
      </c>
      <c r="I263" s="372">
        <v>0.33333333333333331</v>
      </c>
      <c r="J263" s="372"/>
      <c r="K263" s="371"/>
      <c r="L263" s="371"/>
      <c r="M263" s="371"/>
      <c r="N263" s="371"/>
      <c r="O263" s="371"/>
      <c r="P263" s="375" t="s">
        <v>241</v>
      </c>
      <c r="Q263" s="375"/>
      <c r="R263" s="376"/>
      <c r="S263" s="370">
        <f>VLOOKUP(Table2[[#This Row],[Course Title]],'TSD-Data'!$A$1:$E$70,4,FALSE)</f>
        <v>40</v>
      </c>
      <c r="T263" s="377">
        <f>VLOOKUP(Table2[[#This Row],[Course Title]],'TSD-Data'!$A$1:$F$70,6,FALSE)</f>
        <v>40</v>
      </c>
      <c r="U263" s="378">
        <f>VLOOKUP(Table2[[#This Row],[Course Title]],'TSD-Data'!$A$1:$F$70,5,FALSE)</f>
        <v>5</v>
      </c>
      <c r="V263" s="377">
        <v>70</v>
      </c>
      <c r="W263" s="377"/>
      <c r="X263" s="377"/>
      <c r="Y263" s="378"/>
      <c r="Z263" s="378"/>
      <c r="AA263" s="370"/>
      <c r="AB263" s="370"/>
      <c r="AC263" s="370"/>
      <c r="AD263" s="370"/>
      <c r="AE263" s="378" t="e">
        <v>#REF!</v>
      </c>
      <c r="AF263" s="370">
        <v>0</v>
      </c>
      <c r="AG263" s="377" t="e">
        <v>#REF!</v>
      </c>
      <c r="AH263" s="377">
        <v>1</v>
      </c>
      <c r="AI263" s="377">
        <v>1</v>
      </c>
      <c r="AJ263" s="377" t="e">
        <v>#VALUE!</v>
      </c>
      <c r="AK263" s="370"/>
      <c r="AL263" s="377">
        <v>3</v>
      </c>
      <c r="AM263" s="403" t="str">
        <f>VLOOKUP(Table2[[#This Row],[Course Title]],'TSD-Data'!$A$1:$G$70,7,FALSE)</f>
        <v>N4</v>
      </c>
    </row>
    <row r="264" spans="1:39" s="380" customFormat="1" x14ac:dyDescent="0.25">
      <c r="A264" s="413"/>
      <c r="B264" s="369" t="s">
        <v>29</v>
      </c>
      <c r="C264" s="370" t="str">
        <f>VLOOKUP(Table2[[#This Row],[Course Title]],'TSD-Data'!$A$1:$E$70,2,FALSE)</f>
        <v>A-493-0077</v>
      </c>
      <c r="D264" s="370" t="str">
        <f>VLOOKUP(Table2[[#This Row],[Course Title]],'TSD-Data'!$A$1:$E$70,3,FALSE)</f>
        <v>0381</v>
      </c>
      <c r="E264" s="414" t="s">
        <v>239</v>
      </c>
      <c r="F264" s="416">
        <v>46125</v>
      </c>
      <c r="G264" s="416">
        <v>46127</v>
      </c>
      <c r="H264" s="426" t="s">
        <v>753</v>
      </c>
      <c r="I264" s="417">
        <v>0.33333333333333331</v>
      </c>
      <c r="J264" s="417"/>
      <c r="K264" s="416"/>
      <c r="L264" s="416"/>
      <c r="M264" s="416"/>
      <c r="N264" s="416"/>
      <c r="O264" s="416"/>
      <c r="P264" s="418" t="s">
        <v>241</v>
      </c>
      <c r="Q264" s="418"/>
      <c r="R264" s="376"/>
      <c r="S264" s="370">
        <f>VLOOKUP(Table2[[#This Row],[Course Title]],'TSD-Data'!$A$1:$E$70,4,FALSE)</f>
        <v>25</v>
      </c>
      <c r="T264" s="377">
        <f>VLOOKUP(Table2[[#This Row],[Course Title]],'TSD-Data'!$A$1:$F$70,6,FALSE)</f>
        <v>24</v>
      </c>
      <c r="U264" s="378">
        <f>VLOOKUP(Table2[[#This Row],[Course Title]],'TSD-Data'!$A$1:$F$70,5,FALSE)</f>
        <v>3</v>
      </c>
      <c r="V264" s="379">
        <v>32</v>
      </c>
      <c r="W264" s="377"/>
      <c r="X264" s="377"/>
      <c r="Y264" s="420"/>
      <c r="Z264" s="420"/>
      <c r="AA264" s="415"/>
      <c r="AB264" s="415"/>
      <c r="AC264" s="421"/>
      <c r="AD264" s="421"/>
      <c r="AE264" s="420">
        <v>322</v>
      </c>
      <c r="AF264" s="415">
        <v>1</v>
      </c>
      <c r="AG264" s="403">
        <v>1</v>
      </c>
      <c r="AH264" s="403">
        <v>1</v>
      </c>
      <c r="AI264" s="403">
        <v>0</v>
      </c>
      <c r="AJ264" s="403">
        <v>24</v>
      </c>
      <c r="AK264" s="415"/>
      <c r="AL264" s="377">
        <v>3</v>
      </c>
      <c r="AM264" s="403" t="str">
        <f>VLOOKUP(Table2[[#This Row],[Course Title]],'TSD-Data'!$A$1:$G$70,7,FALSE)</f>
        <v>N4</v>
      </c>
    </row>
    <row r="265" spans="1:39" s="380" customFormat="1" x14ac:dyDescent="0.25">
      <c r="A265" s="413"/>
      <c r="B265" s="369" t="s">
        <v>29</v>
      </c>
      <c r="C265" s="370" t="str">
        <f>VLOOKUP(Table2[[#This Row],[Course Title]],'TSD-Data'!$A$1:$E$70,2,FALSE)</f>
        <v>A-493-0077</v>
      </c>
      <c r="D265" s="370" t="str">
        <f>VLOOKUP(Table2[[#This Row],[Course Title]],'TSD-Data'!$A$1:$E$70,3,FALSE)</f>
        <v>0381</v>
      </c>
      <c r="E265" s="414" t="s">
        <v>352</v>
      </c>
      <c r="F265" s="416">
        <v>46125</v>
      </c>
      <c r="G265" s="416">
        <v>46127</v>
      </c>
      <c r="H265" s="426" t="s">
        <v>753</v>
      </c>
      <c r="I265" s="417">
        <v>0.33333333333333331</v>
      </c>
      <c r="J265" s="417"/>
      <c r="K265" s="416"/>
      <c r="L265" s="416"/>
      <c r="M265" s="416"/>
      <c r="N265" s="416"/>
      <c r="O265" s="416"/>
      <c r="P265" s="418" t="s">
        <v>241</v>
      </c>
      <c r="Q265" s="418"/>
      <c r="R265" s="376"/>
      <c r="S265" s="370">
        <f>VLOOKUP(Table2[[#This Row],[Course Title]],'TSD-Data'!$A$1:$E$70,4,FALSE)</f>
        <v>25</v>
      </c>
      <c r="T265" s="377">
        <f>VLOOKUP(Table2[[#This Row],[Course Title]],'TSD-Data'!$A$1:$F$70,6,FALSE)</f>
        <v>24</v>
      </c>
      <c r="U265" s="378">
        <f>VLOOKUP(Table2[[#This Row],[Course Title]],'TSD-Data'!$A$1:$F$70,5,FALSE)</f>
        <v>3</v>
      </c>
      <c r="V265" s="379">
        <v>32</v>
      </c>
      <c r="W265" s="377"/>
      <c r="X265" s="377"/>
      <c r="Y265" s="420"/>
      <c r="Z265" s="420"/>
      <c r="AA265" s="415"/>
      <c r="AB265" s="415"/>
      <c r="AC265" s="421"/>
      <c r="AD265" s="421"/>
      <c r="AE265" s="420">
        <v>322</v>
      </c>
      <c r="AF265" s="415">
        <v>1</v>
      </c>
      <c r="AG265" s="403">
        <v>1</v>
      </c>
      <c r="AH265" s="403">
        <v>1</v>
      </c>
      <c r="AI265" s="403">
        <v>0</v>
      </c>
      <c r="AJ265" s="403">
        <v>24</v>
      </c>
      <c r="AK265" s="415"/>
      <c r="AL265" s="377">
        <v>3</v>
      </c>
      <c r="AM265" s="403" t="str">
        <f>VLOOKUP(Table2[[#This Row],[Course Title]],'TSD-Data'!$A$1:$G$70,7,FALSE)</f>
        <v>N4</v>
      </c>
    </row>
    <row r="266" spans="1:39" s="380" customFormat="1" x14ac:dyDescent="0.25">
      <c r="A266" s="413"/>
      <c r="B266" s="369" t="s">
        <v>29</v>
      </c>
      <c r="C266" s="370" t="str">
        <f>VLOOKUP(Table2[[#This Row],[Course Title]],'TSD-Data'!$A$1:$E$70,2,FALSE)</f>
        <v>A-493-0077</v>
      </c>
      <c r="D266" s="370" t="str">
        <f>VLOOKUP(Table2[[#This Row],[Course Title]],'TSD-Data'!$A$1:$E$70,3,FALSE)</f>
        <v>0381</v>
      </c>
      <c r="E266" s="414" t="s">
        <v>748</v>
      </c>
      <c r="F266" s="416">
        <v>46125</v>
      </c>
      <c r="G266" s="416">
        <v>46127</v>
      </c>
      <c r="H266" s="426" t="s">
        <v>753</v>
      </c>
      <c r="I266" s="417">
        <v>0.33333333333333331</v>
      </c>
      <c r="J266" s="417"/>
      <c r="K266" s="416"/>
      <c r="L266" s="416"/>
      <c r="M266" s="416"/>
      <c r="N266" s="416"/>
      <c r="O266" s="416"/>
      <c r="P266" s="418" t="s">
        <v>241</v>
      </c>
      <c r="Q266" s="418"/>
      <c r="R266" s="376"/>
      <c r="S266" s="370">
        <f>VLOOKUP(Table2[[#This Row],[Course Title]],'TSD-Data'!$A$1:$E$70,4,FALSE)</f>
        <v>25</v>
      </c>
      <c r="T266" s="377">
        <f>VLOOKUP(Table2[[#This Row],[Course Title]],'TSD-Data'!$A$1:$F$70,6,FALSE)</f>
        <v>24</v>
      </c>
      <c r="U266" s="378">
        <f>VLOOKUP(Table2[[#This Row],[Course Title]],'TSD-Data'!$A$1:$F$70,5,FALSE)</f>
        <v>3</v>
      </c>
      <c r="V266" s="379">
        <v>22</v>
      </c>
      <c r="W266" s="377"/>
      <c r="X266" s="377"/>
      <c r="Y266" s="420"/>
      <c r="Z266" s="420"/>
      <c r="AA266" s="415"/>
      <c r="AB266" s="415"/>
      <c r="AC266" s="421"/>
      <c r="AD266" s="421"/>
      <c r="AE266" s="420">
        <v>322</v>
      </c>
      <c r="AF266" s="415">
        <v>1</v>
      </c>
      <c r="AG266" s="403">
        <v>1</v>
      </c>
      <c r="AH266" s="403">
        <v>1</v>
      </c>
      <c r="AI266" s="403">
        <v>0</v>
      </c>
      <c r="AJ266" s="403">
        <v>24</v>
      </c>
      <c r="AK266" s="415"/>
      <c r="AL266" s="377">
        <v>3</v>
      </c>
      <c r="AM266" s="403" t="str">
        <f>VLOOKUP(Table2[[#This Row],[Course Title]],'TSD-Data'!$A$1:$G$70,7,FALSE)</f>
        <v>N4</v>
      </c>
    </row>
    <row r="267" spans="1:39" s="380" customFormat="1" x14ac:dyDescent="0.25">
      <c r="A267" s="369" t="s">
        <v>488</v>
      </c>
      <c r="B267" s="369" t="s">
        <v>350</v>
      </c>
      <c r="C267" s="370" t="str">
        <f>VLOOKUP(Table2[[#This Row],[Course Title]],'TSD-Data'!$A$1:$E$70,2,FALSE)</f>
        <v>PDS</v>
      </c>
      <c r="D267" s="370" t="str">
        <f>VLOOKUP(Table2[[#This Row],[Course Title]],'TSD-Data'!$A$1:$E$70,3,FALSE)</f>
        <v>PDS</v>
      </c>
      <c r="E267" s="369"/>
      <c r="F267" s="371">
        <v>46125</v>
      </c>
      <c r="G267" s="371">
        <v>46129</v>
      </c>
      <c r="H267" s="371" t="s">
        <v>752</v>
      </c>
      <c r="I267" s="372"/>
      <c r="J267" s="372"/>
      <c r="K267" s="371"/>
      <c r="L267" s="371"/>
      <c r="M267" s="371"/>
      <c r="N267" s="371"/>
      <c r="O267" s="371"/>
      <c r="P267" s="375" t="s">
        <v>322</v>
      </c>
      <c r="Q267" s="375"/>
      <c r="R267" s="375"/>
      <c r="S267" s="370">
        <f>VLOOKUP(Table2[[#This Row],[Course Title]],'TSD-Data'!$A$1:$E$70,4,FALSE)</f>
        <v>0</v>
      </c>
      <c r="T267" s="377">
        <f>VLOOKUP(Table2[[#This Row],[Course Title]],'TSD-Data'!$A$1:$F$70,6,FALSE)</f>
        <v>0</v>
      </c>
      <c r="U267" s="378">
        <f>VLOOKUP(Table2[[#This Row],[Course Title]],'TSD-Data'!$A$1:$F$70,5,FALSE)</f>
        <v>0</v>
      </c>
      <c r="V267" s="379">
        <v>0</v>
      </c>
      <c r="W267" s="377">
        <v>0</v>
      </c>
      <c r="X267" s="377">
        <v>0</v>
      </c>
      <c r="Y267" s="377">
        <v>0</v>
      </c>
      <c r="Z267" s="377">
        <v>0</v>
      </c>
      <c r="AA267" s="377">
        <v>0</v>
      </c>
      <c r="AB267" s="377">
        <v>0</v>
      </c>
      <c r="AC267" s="377">
        <v>0</v>
      </c>
      <c r="AD267" s="377" t="s">
        <v>247</v>
      </c>
      <c r="AE267" s="379">
        <f ca="1">Table2[[#This Row],[End Date]]+2-TODAY()</f>
        <v>313</v>
      </c>
      <c r="AF267" s="377">
        <f>IF(ISBLANK(Table2[[#This Row],[Roster Received by]]),1,0)</f>
        <v>0</v>
      </c>
      <c r="AG267" s="377">
        <f ca="1">IF(Table2[[#This Row],[Start Date]]&gt;TODAY(),1,)</f>
        <v>1</v>
      </c>
      <c r="AH267" s="377">
        <f>IF(ISBLANK(Table2[[#This Row],[Primary Instructor]]),0,1)</f>
        <v>1</v>
      </c>
      <c r="AI267" s="377">
        <f>IF(ISBLANK(Table2[[#This Row],[Instructor 2]]),0,1)</f>
        <v>0</v>
      </c>
      <c r="AJ267" s="377">
        <f>Table2[[#This Row],[Course Length (Hours)]]/(SUM(Table2[[#This Row],[1]:[2]]))</f>
        <v>0</v>
      </c>
      <c r="AK267" s="377"/>
      <c r="AL267" s="377">
        <v>3</v>
      </c>
      <c r="AM267" s="403" t="str">
        <f>VLOOKUP(Table2[[#This Row],[Course Title]],'TSD-Data'!$A$1:$G$70,7,FALSE)</f>
        <v>TSD</v>
      </c>
    </row>
    <row r="268" spans="1:39" s="380" customFormat="1" x14ac:dyDescent="0.25">
      <c r="A268" s="413"/>
      <c r="B268" s="414" t="s">
        <v>35</v>
      </c>
      <c r="C268" s="370" t="str">
        <f>VLOOKUP(Table2[[#This Row],[Course Title]],'TSD-Data'!$A$1:$E$70,2,FALSE)</f>
        <v>A-493-2501</v>
      </c>
      <c r="D268" s="370" t="str">
        <f>VLOOKUP(Table2[[#This Row],[Course Title]],'TSD-Data'!$A$1:$E$70,3,FALSE)</f>
        <v>05ZE</v>
      </c>
      <c r="E268" s="414" t="s">
        <v>273</v>
      </c>
      <c r="F268" s="416">
        <v>46126</v>
      </c>
      <c r="G268" s="416">
        <v>46126</v>
      </c>
      <c r="H268" s="426" t="s">
        <v>753</v>
      </c>
      <c r="I268" s="417">
        <v>0.33333333333333331</v>
      </c>
      <c r="J268" s="417"/>
      <c r="K268" s="416"/>
      <c r="L268" s="416"/>
      <c r="M268" s="416"/>
      <c r="N268" s="416"/>
      <c r="O268" s="416"/>
      <c r="P268" s="418" t="s">
        <v>241</v>
      </c>
      <c r="Q268" s="418"/>
      <c r="R268" s="376"/>
      <c r="S268" s="370">
        <f>VLOOKUP(Table2[[#This Row],[Course Title]],'TSD-Data'!$A$1:$E$70,4,FALSE)</f>
        <v>30</v>
      </c>
      <c r="T268" s="377">
        <f>VLOOKUP(Table2[[#This Row],[Course Title]],'TSD-Data'!$A$1:$F$70,6,FALSE)</f>
        <v>8</v>
      </c>
      <c r="U268" s="378">
        <f>VLOOKUP(Table2[[#This Row],[Course Title]],'TSD-Data'!$A$1:$F$70,5,FALSE)</f>
        <v>1</v>
      </c>
      <c r="V268" s="379">
        <v>16</v>
      </c>
      <c r="W268" s="377"/>
      <c r="X268" s="377"/>
      <c r="Y268" s="420"/>
      <c r="Z268" s="420"/>
      <c r="AA268" s="415"/>
      <c r="AB268" s="415"/>
      <c r="AC268" s="421"/>
      <c r="AD268" s="421"/>
      <c r="AE268" s="420">
        <v>321</v>
      </c>
      <c r="AF268" s="415">
        <v>1</v>
      </c>
      <c r="AG268" s="403">
        <v>1</v>
      </c>
      <c r="AH268" s="403">
        <v>1</v>
      </c>
      <c r="AI268" s="403">
        <v>0</v>
      </c>
      <c r="AJ268" s="403">
        <v>8</v>
      </c>
      <c r="AK268" s="415"/>
      <c r="AL268" s="377">
        <v>3</v>
      </c>
      <c r="AM268" s="403" t="str">
        <f>VLOOKUP(Table2[[#This Row],[Course Title]],'TSD-Data'!$A$1:$G$70,7,FALSE)</f>
        <v>N4</v>
      </c>
    </row>
    <row r="269" spans="1:39" s="380" customFormat="1" x14ac:dyDescent="0.25">
      <c r="A269" s="413"/>
      <c r="B269" s="369" t="s">
        <v>31</v>
      </c>
      <c r="C269" s="370" t="str">
        <f>VLOOKUP(Table2[[#This Row],[Course Title]],'TSD-Data'!$A$1:$E$70,2,FALSE)</f>
        <v>A-493-0083</v>
      </c>
      <c r="D269" s="370" t="str">
        <f>VLOOKUP(Table2[[#This Row],[Course Title]],'TSD-Data'!$A$1:$E$70,3,FALSE)</f>
        <v>339E</v>
      </c>
      <c r="E269" s="414" t="s">
        <v>239</v>
      </c>
      <c r="F269" s="416">
        <v>46128</v>
      </c>
      <c r="G269" s="416">
        <v>46128</v>
      </c>
      <c r="H269" s="426" t="s">
        <v>753</v>
      </c>
      <c r="I269" s="417">
        <v>0.33333333333333331</v>
      </c>
      <c r="J269" s="417"/>
      <c r="K269" s="416"/>
      <c r="L269" s="416"/>
      <c r="M269" s="416"/>
      <c r="N269" s="416"/>
      <c r="O269" s="416"/>
      <c r="P269" s="418" t="s">
        <v>241</v>
      </c>
      <c r="Q269" s="418"/>
      <c r="R269" s="376"/>
      <c r="S269" s="370">
        <f>VLOOKUP(Table2[[#This Row],[Course Title]],'TSD-Data'!$A$1:$E$70,4,FALSE)</f>
        <v>30</v>
      </c>
      <c r="T269" s="377">
        <f>VLOOKUP(Table2[[#This Row],[Course Title]],'TSD-Data'!$A$1:$F$70,6,FALSE)</f>
        <v>8</v>
      </c>
      <c r="U269" s="378">
        <f>VLOOKUP(Table2[[#This Row],[Course Title]],'TSD-Data'!$A$1:$F$70,5,FALSE)</f>
        <v>1</v>
      </c>
      <c r="V269" s="379">
        <v>22</v>
      </c>
      <c r="W269" s="377"/>
      <c r="X269" s="377"/>
      <c r="Y269" s="420"/>
      <c r="Z269" s="420"/>
      <c r="AA269" s="415"/>
      <c r="AB269" s="415"/>
      <c r="AC269" s="421"/>
      <c r="AD269" s="421"/>
      <c r="AE269" s="420">
        <v>323</v>
      </c>
      <c r="AF269" s="415">
        <v>1</v>
      </c>
      <c r="AG269" s="403">
        <v>1</v>
      </c>
      <c r="AH269" s="403">
        <v>1</v>
      </c>
      <c r="AI269" s="403">
        <v>0</v>
      </c>
      <c r="AJ269" s="403">
        <v>8</v>
      </c>
      <c r="AK269" s="415"/>
      <c r="AL269" s="377">
        <v>3</v>
      </c>
      <c r="AM269" s="403" t="str">
        <f>VLOOKUP(Table2[[#This Row],[Course Title]],'TSD-Data'!$A$1:$G$70,7,FALSE)</f>
        <v>N4</v>
      </c>
    </row>
    <row r="270" spans="1:39" s="380" customFormat="1" x14ac:dyDescent="0.25">
      <c r="A270" s="413"/>
      <c r="B270" s="369" t="s">
        <v>31</v>
      </c>
      <c r="C270" s="370" t="str">
        <f>VLOOKUP(Table2[[#This Row],[Course Title]],'TSD-Data'!$A$1:$E$70,2,FALSE)</f>
        <v>A-493-0083</v>
      </c>
      <c r="D270" s="370" t="str">
        <f>VLOOKUP(Table2[[#This Row],[Course Title]],'TSD-Data'!$A$1:$E$70,3,FALSE)</f>
        <v>339E</v>
      </c>
      <c r="E270" s="414" t="s">
        <v>352</v>
      </c>
      <c r="F270" s="416">
        <v>46128</v>
      </c>
      <c r="G270" s="416">
        <v>46128</v>
      </c>
      <c r="H270" s="426" t="s">
        <v>753</v>
      </c>
      <c r="I270" s="417">
        <v>0.33333333333333331</v>
      </c>
      <c r="J270" s="417"/>
      <c r="K270" s="416"/>
      <c r="L270" s="416"/>
      <c r="M270" s="416"/>
      <c r="N270" s="416"/>
      <c r="O270" s="416"/>
      <c r="P270" s="418" t="s">
        <v>241</v>
      </c>
      <c r="Q270" s="418"/>
      <c r="R270" s="376"/>
      <c r="S270" s="370">
        <f>VLOOKUP(Table2[[#This Row],[Course Title]],'TSD-Data'!$A$1:$E$70,4,FALSE)</f>
        <v>30</v>
      </c>
      <c r="T270" s="377">
        <f>VLOOKUP(Table2[[#This Row],[Course Title]],'TSD-Data'!$A$1:$F$70,6,FALSE)</f>
        <v>8</v>
      </c>
      <c r="U270" s="378">
        <f>VLOOKUP(Table2[[#This Row],[Course Title]],'TSD-Data'!$A$1:$F$70,5,FALSE)</f>
        <v>1</v>
      </c>
      <c r="V270" s="379">
        <v>32</v>
      </c>
      <c r="W270" s="377"/>
      <c r="X270" s="377"/>
      <c r="Y270" s="420"/>
      <c r="Z270" s="420"/>
      <c r="AA270" s="415"/>
      <c r="AB270" s="415"/>
      <c r="AC270" s="421"/>
      <c r="AD270" s="421"/>
      <c r="AE270" s="420">
        <v>323</v>
      </c>
      <c r="AF270" s="415">
        <v>1</v>
      </c>
      <c r="AG270" s="403">
        <v>1</v>
      </c>
      <c r="AH270" s="403">
        <v>1</v>
      </c>
      <c r="AI270" s="403">
        <v>0</v>
      </c>
      <c r="AJ270" s="403">
        <v>8</v>
      </c>
      <c r="AK270" s="415"/>
      <c r="AL270" s="377">
        <v>3</v>
      </c>
      <c r="AM270" s="403" t="str">
        <f>VLOOKUP(Table2[[#This Row],[Course Title]],'TSD-Data'!$A$1:$G$70,7,FALSE)</f>
        <v>N4</v>
      </c>
    </row>
    <row r="271" spans="1:39" s="380" customFormat="1" x14ac:dyDescent="0.25">
      <c r="A271" s="413"/>
      <c r="B271" s="414" t="s">
        <v>35</v>
      </c>
      <c r="C271" s="370" t="str">
        <f>VLOOKUP(Table2[[#This Row],[Course Title]],'TSD-Data'!$A$1:$E$70,2,FALSE)</f>
        <v>A-493-2501</v>
      </c>
      <c r="D271" s="370" t="str">
        <f>VLOOKUP(Table2[[#This Row],[Course Title]],'TSD-Data'!$A$1:$E$70,3,FALSE)</f>
        <v>05ZE</v>
      </c>
      <c r="E271" s="414" t="s">
        <v>172</v>
      </c>
      <c r="F271" s="416">
        <v>46129</v>
      </c>
      <c r="G271" s="416">
        <v>46129</v>
      </c>
      <c r="H271" s="426" t="s">
        <v>753</v>
      </c>
      <c r="I271" s="417">
        <v>0.33333333333333331</v>
      </c>
      <c r="J271" s="417"/>
      <c r="K271" s="416"/>
      <c r="L271" s="416"/>
      <c r="M271" s="416"/>
      <c r="N271" s="416"/>
      <c r="O271" s="416"/>
      <c r="P271" s="418" t="s">
        <v>241</v>
      </c>
      <c r="Q271" s="418"/>
      <c r="R271" s="376"/>
      <c r="S271" s="370">
        <f>VLOOKUP(Table2[[#This Row],[Course Title]],'TSD-Data'!$A$1:$E$70,4,FALSE)</f>
        <v>30</v>
      </c>
      <c r="T271" s="377">
        <f>VLOOKUP(Table2[[#This Row],[Course Title]],'TSD-Data'!$A$1:$F$70,6,FALSE)</f>
        <v>8</v>
      </c>
      <c r="U271" s="378">
        <f>VLOOKUP(Table2[[#This Row],[Course Title]],'TSD-Data'!$A$1:$F$70,5,FALSE)</f>
        <v>1</v>
      </c>
      <c r="V271" s="379">
        <v>34</v>
      </c>
      <c r="W271" s="377"/>
      <c r="X271" s="377"/>
      <c r="Y271" s="420"/>
      <c r="Z271" s="420"/>
      <c r="AA271" s="415"/>
      <c r="AB271" s="415"/>
      <c r="AC271" s="421"/>
      <c r="AD271" s="421"/>
      <c r="AE271" s="420">
        <v>324</v>
      </c>
      <c r="AF271" s="415">
        <v>1</v>
      </c>
      <c r="AG271" s="403">
        <v>1</v>
      </c>
      <c r="AH271" s="403">
        <v>1</v>
      </c>
      <c r="AI271" s="403">
        <v>0</v>
      </c>
      <c r="AJ271" s="403">
        <v>8</v>
      </c>
      <c r="AK271" s="415"/>
      <c r="AL271" s="377">
        <v>3</v>
      </c>
      <c r="AM271" s="403" t="str">
        <f>VLOOKUP(Table2[[#This Row],[Course Title]],'TSD-Data'!$A$1:$G$70,7,FALSE)</f>
        <v>N4</v>
      </c>
    </row>
    <row r="272" spans="1:39" s="380" customFormat="1" x14ac:dyDescent="0.25">
      <c r="A272" s="425" t="s">
        <v>514</v>
      </c>
      <c r="B272" s="401" t="s">
        <v>17</v>
      </c>
      <c r="C272" s="370" t="str">
        <f>VLOOKUP(Table2[[#This Row],[Course Title]],'TSD-Data'!$A$1:$E$70,2,FALSE)</f>
        <v>A-493-0012</v>
      </c>
      <c r="D272" s="370">
        <f>VLOOKUP(Table2[[#This Row],[Course Title]],'TSD-Data'!$A$1:$E$70,3,FALSE)</f>
        <v>3682</v>
      </c>
      <c r="E272" s="401" t="s">
        <v>239</v>
      </c>
      <c r="F272" s="426">
        <v>46132</v>
      </c>
      <c r="G272" s="426">
        <v>46136</v>
      </c>
      <c r="H272" s="426" t="s">
        <v>753</v>
      </c>
      <c r="I272" s="372">
        <v>0.33333333333333331</v>
      </c>
      <c r="J272" s="372"/>
      <c r="K272" s="437"/>
      <c r="L272" s="371"/>
      <c r="M272" s="371"/>
      <c r="N272" s="371"/>
      <c r="O272" s="371"/>
      <c r="P272" s="375" t="s">
        <v>241</v>
      </c>
      <c r="Q272" s="375"/>
      <c r="R272" s="376"/>
      <c r="S272" s="370">
        <f>VLOOKUP(Table2[[#This Row],[Course Title]],'TSD-Data'!$A$1:$E$70,4,FALSE)</f>
        <v>40</v>
      </c>
      <c r="T272" s="377">
        <f>VLOOKUP(Table2[[#This Row],[Course Title]],'TSD-Data'!$A$1:$F$70,6,FALSE)</f>
        <v>40</v>
      </c>
      <c r="U272" s="378">
        <f>VLOOKUP(Table2[[#This Row],[Course Title]],'TSD-Data'!$A$1:$F$70,5,FALSE)</f>
        <v>5</v>
      </c>
      <c r="V272" s="377">
        <v>28</v>
      </c>
      <c r="W272" s="377"/>
      <c r="X272" s="377"/>
      <c r="Y272" s="378"/>
      <c r="Z272" s="378"/>
      <c r="AA272" s="370"/>
      <c r="AB272" s="370"/>
      <c r="AC272" s="370"/>
      <c r="AD272" s="370"/>
      <c r="AE272" s="378" t="e">
        <v>#REF!</v>
      </c>
      <c r="AF272" s="370">
        <v>0</v>
      </c>
      <c r="AG272" s="377" t="e">
        <v>#REF!</v>
      </c>
      <c r="AH272" s="377">
        <v>1</v>
      </c>
      <c r="AI272" s="377">
        <v>1</v>
      </c>
      <c r="AJ272" s="377" t="e">
        <v>#VALUE!</v>
      </c>
      <c r="AK272" s="370"/>
      <c r="AL272" s="377">
        <v>3</v>
      </c>
      <c r="AM272" s="403" t="str">
        <f>VLOOKUP(Table2[[#This Row],[Course Title]],'TSD-Data'!$A$1:$G$70,7,FALSE)</f>
        <v>N4</v>
      </c>
    </row>
    <row r="273" spans="1:39" s="380" customFormat="1" x14ac:dyDescent="0.25">
      <c r="A273" s="413"/>
      <c r="B273" s="414" t="s">
        <v>35</v>
      </c>
      <c r="C273" s="370" t="str">
        <f>VLOOKUP(Table2[[#This Row],[Course Title]],'TSD-Data'!$A$1:$E$70,2,FALSE)</f>
        <v>A-493-2501</v>
      </c>
      <c r="D273" s="370" t="str">
        <f>VLOOKUP(Table2[[#This Row],[Course Title]],'TSD-Data'!$A$1:$E$70,3,FALSE)</f>
        <v>05ZE</v>
      </c>
      <c r="E273" s="414" t="s">
        <v>176</v>
      </c>
      <c r="F273" s="416">
        <v>46132</v>
      </c>
      <c r="G273" s="416">
        <v>46132</v>
      </c>
      <c r="H273" s="426" t="s">
        <v>753</v>
      </c>
      <c r="I273" s="417">
        <v>0.33333333333333331</v>
      </c>
      <c r="J273" s="417"/>
      <c r="K273" s="416"/>
      <c r="L273" s="416"/>
      <c r="M273" s="416"/>
      <c r="N273" s="416"/>
      <c r="O273" s="416"/>
      <c r="P273" s="418" t="s">
        <v>241</v>
      </c>
      <c r="Q273" s="418"/>
      <c r="R273" s="376"/>
      <c r="S273" s="370">
        <f>VLOOKUP(Table2[[#This Row],[Course Title]],'TSD-Data'!$A$1:$E$70,4,FALSE)</f>
        <v>30</v>
      </c>
      <c r="T273" s="377">
        <f>VLOOKUP(Table2[[#This Row],[Course Title]],'TSD-Data'!$A$1:$F$70,6,FALSE)</f>
        <v>8</v>
      </c>
      <c r="U273" s="378">
        <f>VLOOKUP(Table2[[#This Row],[Course Title]],'TSD-Data'!$A$1:$F$70,5,FALSE)</f>
        <v>1</v>
      </c>
      <c r="V273" s="379">
        <v>61</v>
      </c>
      <c r="W273" s="377"/>
      <c r="X273" s="377"/>
      <c r="Y273" s="420"/>
      <c r="Z273" s="420"/>
      <c r="AA273" s="415"/>
      <c r="AB273" s="415"/>
      <c r="AC273" s="421"/>
      <c r="AD273" s="421"/>
      <c r="AE273" s="420">
        <v>327</v>
      </c>
      <c r="AF273" s="415">
        <v>1</v>
      </c>
      <c r="AG273" s="403">
        <v>1</v>
      </c>
      <c r="AH273" s="403">
        <v>1</v>
      </c>
      <c r="AI273" s="403">
        <v>0</v>
      </c>
      <c r="AJ273" s="403">
        <v>8</v>
      </c>
      <c r="AK273" s="415"/>
      <c r="AL273" s="377">
        <v>3</v>
      </c>
      <c r="AM273" s="403" t="str">
        <f>VLOOKUP(Table2[[#This Row],[Course Title]],'TSD-Data'!$A$1:$G$70,7,FALSE)</f>
        <v>N4</v>
      </c>
    </row>
    <row r="274" spans="1:39" s="380" customFormat="1" x14ac:dyDescent="0.25">
      <c r="A274" s="369" t="s">
        <v>489</v>
      </c>
      <c r="B274" s="369" t="s">
        <v>350</v>
      </c>
      <c r="C274" s="370" t="str">
        <f>VLOOKUP(Table2[[#This Row],[Course Title]],'TSD-Data'!$A$1:$E$70,2,FALSE)</f>
        <v>PDS</v>
      </c>
      <c r="D274" s="370" t="str">
        <f>VLOOKUP(Table2[[#This Row],[Course Title]],'TSD-Data'!$A$1:$E$70,3,FALSE)</f>
        <v>PDS</v>
      </c>
      <c r="E274" s="369"/>
      <c r="F274" s="371">
        <v>46132</v>
      </c>
      <c r="G274" s="371">
        <v>46136</v>
      </c>
      <c r="H274" s="371" t="s">
        <v>752</v>
      </c>
      <c r="I274" s="372"/>
      <c r="J274" s="372"/>
      <c r="K274" s="371"/>
      <c r="L274" s="371"/>
      <c r="M274" s="371"/>
      <c r="N274" s="371"/>
      <c r="O274" s="371"/>
      <c r="P274" s="375" t="s">
        <v>322</v>
      </c>
      <c r="Q274" s="375"/>
      <c r="R274" s="375"/>
      <c r="S274" s="370">
        <f>VLOOKUP(Table2[[#This Row],[Course Title]],'TSD-Data'!$A$1:$E$70,4,FALSE)</f>
        <v>0</v>
      </c>
      <c r="T274" s="377">
        <f>VLOOKUP(Table2[[#This Row],[Course Title]],'TSD-Data'!$A$1:$F$70,6,FALSE)</f>
        <v>0</v>
      </c>
      <c r="U274" s="378">
        <f>VLOOKUP(Table2[[#This Row],[Course Title]],'TSD-Data'!$A$1:$F$70,5,FALSE)</f>
        <v>0</v>
      </c>
      <c r="V274" s="379">
        <v>0</v>
      </c>
      <c r="W274" s="377">
        <v>0</v>
      </c>
      <c r="X274" s="377">
        <v>0</v>
      </c>
      <c r="Y274" s="377">
        <v>0</v>
      </c>
      <c r="Z274" s="377">
        <v>0</v>
      </c>
      <c r="AA274" s="377">
        <v>0</v>
      </c>
      <c r="AB274" s="377">
        <v>0</v>
      </c>
      <c r="AC274" s="377">
        <v>0</v>
      </c>
      <c r="AD274" s="377" t="s">
        <v>247</v>
      </c>
      <c r="AE274" s="379">
        <f ca="1">Table2[[#This Row],[End Date]]+2-TODAY()</f>
        <v>320</v>
      </c>
      <c r="AF274" s="377">
        <f>IF(ISBLANK(Table2[[#This Row],[Roster Received by]]),1,0)</f>
        <v>0</v>
      </c>
      <c r="AG274" s="377">
        <f ca="1">IF(Table2[[#This Row],[Start Date]]&gt;TODAY(),1,)</f>
        <v>1</v>
      </c>
      <c r="AH274" s="377">
        <f>IF(ISBLANK(Table2[[#This Row],[Primary Instructor]]),0,1)</f>
        <v>1</v>
      </c>
      <c r="AI274" s="377">
        <f>IF(ISBLANK(Table2[[#This Row],[Instructor 2]]),0,1)</f>
        <v>0</v>
      </c>
      <c r="AJ274" s="377">
        <f>Table2[[#This Row],[Course Length (Hours)]]/(SUM(Table2[[#This Row],[1]:[2]]))</f>
        <v>0</v>
      </c>
      <c r="AK274" s="377"/>
      <c r="AL274" s="377">
        <v>3</v>
      </c>
      <c r="AM274" s="403" t="str">
        <f>VLOOKUP(Table2[[#This Row],[Course Title]],'TSD-Data'!$A$1:$G$70,7,FALSE)</f>
        <v>TSD</v>
      </c>
    </row>
    <row r="275" spans="1:39" s="380" customFormat="1" x14ac:dyDescent="0.25">
      <c r="A275" s="413" t="s">
        <v>732</v>
      </c>
      <c r="B275" s="414" t="s">
        <v>28</v>
      </c>
      <c r="C275" s="370" t="str">
        <f>VLOOKUP(Table2[[#This Row],[Course Title]],'TSD-Data'!$A$1:$E$70,2,FALSE)</f>
        <v>A-493-0013</v>
      </c>
      <c r="D275" s="370">
        <f>VLOOKUP(Table2[[#This Row],[Course Title]],'TSD-Data'!$A$1:$E$70,3,FALSE)</f>
        <v>3683</v>
      </c>
      <c r="E275" s="414" t="s">
        <v>398</v>
      </c>
      <c r="F275" s="416">
        <v>46133</v>
      </c>
      <c r="G275" s="416">
        <v>46135</v>
      </c>
      <c r="H275" s="426" t="s">
        <v>753</v>
      </c>
      <c r="I275" s="417">
        <v>0.33333333333333331</v>
      </c>
      <c r="J275" s="417"/>
      <c r="K275" s="416"/>
      <c r="L275" s="416"/>
      <c r="M275" s="416"/>
      <c r="N275" s="416"/>
      <c r="O275" s="416"/>
      <c r="P275" s="418" t="s">
        <v>241</v>
      </c>
      <c r="Q275" s="418"/>
      <c r="R275" s="376"/>
      <c r="S275" s="370">
        <f>VLOOKUP(Table2[[#This Row],[Course Title]],'TSD-Data'!$A$1:$E$70,4,FALSE)</f>
        <v>40</v>
      </c>
      <c r="T275" s="377">
        <f>VLOOKUP(Table2[[#This Row],[Course Title]],'TSD-Data'!$A$1:$F$70,6,FALSE)</f>
        <v>24</v>
      </c>
      <c r="U275" s="378">
        <f>VLOOKUP(Table2[[#This Row],[Course Title]],'TSD-Data'!$A$1:$F$70,5,FALSE)</f>
        <v>3</v>
      </c>
      <c r="V275" s="379">
        <v>28</v>
      </c>
      <c r="W275" s="377"/>
      <c r="X275" s="377"/>
      <c r="Y275" s="420"/>
      <c r="Z275" s="420"/>
      <c r="AA275" s="415"/>
      <c r="AB275" s="415"/>
      <c r="AC275" s="421"/>
      <c r="AD275" s="421"/>
      <c r="AE275" s="420">
        <v>330</v>
      </c>
      <c r="AF275" s="415">
        <v>1</v>
      </c>
      <c r="AG275" s="403">
        <v>1</v>
      </c>
      <c r="AH275" s="403">
        <v>1</v>
      </c>
      <c r="AI275" s="403">
        <v>0</v>
      </c>
      <c r="AJ275" s="403">
        <v>24</v>
      </c>
      <c r="AK275" s="415"/>
      <c r="AL275" s="377">
        <v>3</v>
      </c>
      <c r="AM275" s="403" t="str">
        <f>VLOOKUP(Table2[[#This Row],[Course Title]],'TSD-Data'!$A$1:$G$70,7,FALSE)</f>
        <v>N4</v>
      </c>
    </row>
    <row r="276" spans="1:39" s="380" customFormat="1" x14ac:dyDescent="0.25">
      <c r="A276" s="413"/>
      <c r="B276" s="414" t="s">
        <v>35</v>
      </c>
      <c r="C276" s="370" t="str">
        <f>VLOOKUP(Table2[[#This Row],[Course Title]],'TSD-Data'!$A$1:$E$70,2,FALSE)</f>
        <v>A-493-2501</v>
      </c>
      <c r="D276" s="370" t="str">
        <f>VLOOKUP(Table2[[#This Row],[Course Title]],'TSD-Data'!$A$1:$E$70,3,FALSE)</f>
        <v>05ZE</v>
      </c>
      <c r="E276" s="414" t="s">
        <v>250</v>
      </c>
      <c r="F276" s="416">
        <v>46134</v>
      </c>
      <c r="G276" s="416">
        <v>46134</v>
      </c>
      <c r="H276" s="426" t="s">
        <v>753</v>
      </c>
      <c r="I276" s="417">
        <v>0.33333333333333331</v>
      </c>
      <c r="J276" s="417"/>
      <c r="K276" s="416"/>
      <c r="L276" s="416"/>
      <c r="M276" s="416"/>
      <c r="N276" s="416"/>
      <c r="O276" s="416"/>
      <c r="P276" s="418" t="s">
        <v>241</v>
      </c>
      <c r="Q276" s="418"/>
      <c r="R276" s="376"/>
      <c r="S276" s="370">
        <f>VLOOKUP(Table2[[#This Row],[Course Title]],'TSD-Data'!$A$1:$E$70,4,FALSE)</f>
        <v>30</v>
      </c>
      <c r="T276" s="377">
        <f>VLOOKUP(Table2[[#This Row],[Course Title]],'TSD-Data'!$A$1:$F$70,6,FALSE)</f>
        <v>8</v>
      </c>
      <c r="U276" s="378">
        <f>VLOOKUP(Table2[[#This Row],[Course Title]],'TSD-Data'!$A$1:$F$70,5,FALSE)</f>
        <v>1</v>
      </c>
      <c r="V276" s="379">
        <v>30</v>
      </c>
      <c r="W276" s="377"/>
      <c r="X276" s="377"/>
      <c r="Y276" s="420"/>
      <c r="Z276" s="420"/>
      <c r="AA276" s="415"/>
      <c r="AB276" s="415"/>
      <c r="AC276" s="421"/>
      <c r="AD276" s="421"/>
      <c r="AE276" s="420">
        <v>329</v>
      </c>
      <c r="AF276" s="415">
        <v>1</v>
      </c>
      <c r="AG276" s="403">
        <v>1</v>
      </c>
      <c r="AH276" s="403">
        <v>1</v>
      </c>
      <c r="AI276" s="403">
        <v>0</v>
      </c>
      <c r="AJ276" s="403">
        <v>8</v>
      </c>
      <c r="AK276" s="415"/>
      <c r="AL276" s="377">
        <v>3</v>
      </c>
      <c r="AM276" s="403" t="str">
        <f>VLOOKUP(Table2[[#This Row],[Course Title]],'TSD-Data'!$A$1:$G$70,7,FALSE)</f>
        <v>N4</v>
      </c>
    </row>
    <row r="277" spans="1:39" s="380" customFormat="1" x14ac:dyDescent="0.25">
      <c r="A277" s="425" t="s">
        <v>717</v>
      </c>
      <c r="B277" s="401" t="s">
        <v>17</v>
      </c>
      <c r="C277" s="370" t="str">
        <f>VLOOKUP(Table2[[#This Row],[Course Title]],'TSD-Data'!$A$1:$E$70,2,FALSE)</f>
        <v>A-493-0012</v>
      </c>
      <c r="D277" s="370">
        <f>VLOOKUP(Table2[[#This Row],[Course Title]],'TSD-Data'!$A$1:$E$70,3,FALSE)</f>
        <v>3682</v>
      </c>
      <c r="E277" s="401" t="s">
        <v>314</v>
      </c>
      <c r="F277" s="426">
        <v>46139</v>
      </c>
      <c r="G277" s="426">
        <v>46143</v>
      </c>
      <c r="H277" s="426" t="s">
        <v>753</v>
      </c>
      <c r="I277" s="372">
        <v>0.33333333333333331</v>
      </c>
      <c r="J277" s="372"/>
      <c r="K277" s="371"/>
      <c r="L277" s="371"/>
      <c r="M277" s="371"/>
      <c r="N277" s="371"/>
      <c r="O277" s="371"/>
      <c r="P277" s="375" t="s">
        <v>241</v>
      </c>
      <c r="Q277" s="375"/>
      <c r="R277" s="376"/>
      <c r="S277" s="370">
        <f>VLOOKUP(Table2[[#This Row],[Course Title]],'TSD-Data'!$A$1:$E$70,4,FALSE)</f>
        <v>40</v>
      </c>
      <c r="T277" s="377">
        <f>VLOOKUP(Table2[[#This Row],[Course Title]],'TSD-Data'!$A$1:$F$70,6,FALSE)</f>
        <v>40</v>
      </c>
      <c r="U277" s="378">
        <f>VLOOKUP(Table2[[#This Row],[Course Title]],'TSD-Data'!$A$1:$F$70,5,FALSE)</f>
        <v>5</v>
      </c>
      <c r="V277" s="377">
        <v>30</v>
      </c>
      <c r="W277" s="377"/>
      <c r="X277" s="377"/>
      <c r="Y277" s="378"/>
      <c r="Z277" s="378"/>
      <c r="AA277" s="370"/>
      <c r="AB277" s="370"/>
      <c r="AC277" s="370"/>
      <c r="AD277" s="370"/>
      <c r="AE277" s="378" t="e">
        <v>#REF!</v>
      </c>
      <c r="AF277" s="370">
        <v>0</v>
      </c>
      <c r="AG277" s="377" t="e">
        <v>#REF!</v>
      </c>
      <c r="AH277" s="377">
        <v>1</v>
      </c>
      <c r="AI277" s="377">
        <v>1</v>
      </c>
      <c r="AJ277" s="377" t="e">
        <v>#VALUE!</v>
      </c>
      <c r="AK277" s="370"/>
      <c r="AL277" s="377">
        <v>3</v>
      </c>
      <c r="AM277" s="403" t="str">
        <f>VLOOKUP(Table2[[#This Row],[Course Title]],'TSD-Data'!$A$1:$G$70,7,FALSE)</f>
        <v>N4</v>
      </c>
    </row>
    <row r="278" spans="1:39" s="380" customFormat="1" x14ac:dyDescent="0.25">
      <c r="A278" s="425" t="s">
        <v>718</v>
      </c>
      <c r="B278" s="401" t="s">
        <v>17</v>
      </c>
      <c r="C278" s="370" t="str">
        <f>VLOOKUP(Table2[[#This Row],[Course Title]],'TSD-Data'!$A$1:$E$70,2,FALSE)</f>
        <v>A-493-0012</v>
      </c>
      <c r="D278" s="370">
        <f>VLOOKUP(Table2[[#This Row],[Course Title]],'TSD-Data'!$A$1:$E$70,3,FALSE)</f>
        <v>3682</v>
      </c>
      <c r="E278" s="401" t="s">
        <v>179</v>
      </c>
      <c r="F278" s="426">
        <v>46139</v>
      </c>
      <c r="G278" s="426">
        <v>46143</v>
      </c>
      <c r="H278" s="426" t="s">
        <v>753</v>
      </c>
      <c r="I278" s="372">
        <v>0.33333333333333331</v>
      </c>
      <c r="J278" s="372"/>
      <c r="K278" s="371"/>
      <c r="L278" s="371"/>
      <c r="M278" s="371"/>
      <c r="N278" s="371"/>
      <c r="O278" s="371"/>
      <c r="P278" s="375" t="s">
        <v>241</v>
      </c>
      <c r="Q278" s="375"/>
      <c r="R278" s="376"/>
      <c r="S278" s="370">
        <f>VLOOKUP(Table2[[#This Row],[Course Title]],'TSD-Data'!$A$1:$E$70,4,FALSE)</f>
        <v>40</v>
      </c>
      <c r="T278" s="377">
        <f>VLOOKUP(Table2[[#This Row],[Course Title]],'TSD-Data'!$A$1:$F$70,6,FALSE)</f>
        <v>40</v>
      </c>
      <c r="U278" s="378">
        <f>VLOOKUP(Table2[[#This Row],[Course Title]],'TSD-Data'!$A$1:$F$70,5,FALSE)</f>
        <v>5</v>
      </c>
      <c r="V278" s="377">
        <v>28</v>
      </c>
      <c r="W278" s="377"/>
      <c r="X278" s="377"/>
      <c r="Y278" s="378"/>
      <c r="Z278" s="378"/>
      <c r="AA278" s="370"/>
      <c r="AB278" s="370"/>
      <c r="AC278" s="370"/>
      <c r="AD278" s="370"/>
      <c r="AE278" s="378" t="e">
        <v>#REF!</v>
      </c>
      <c r="AF278" s="370">
        <v>0</v>
      </c>
      <c r="AG278" s="377" t="e">
        <v>#REF!</v>
      </c>
      <c r="AH278" s="377">
        <v>1</v>
      </c>
      <c r="AI278" s="377">
        <v>1</v>
      </c>
      <c r="AJ278" s="377" t="e">
        <v>#VALUE!</v>
      </c>
      <c r="AK278" s="370"/>
      <c r="AL278" s="377">
        <v>3</v>
      </c>
      <c r="AM278" s="403" t="str">
        <f>VLOOKUP(Table2[[#This Row],[Course Title]],'TSD-Data'!$A$1:$G$70,7,FALSE)</f>
        <v>N4</v>
      </c>
    </row>
    <row r="279" spans="1:39" s="380" customFormat="1" x14ac:dyDescent="0.25">
      <c r="A279" s="368"/>
      <c r="B279" s="369" t="s">
        <v>120</v>
      </c>
      <c r="C279" s="370" t="str">
        <f>VLOOKUP(Table2[[#This Row],[Course Title]],'TSD-Data'!$A$1:$E$70,2,FALSE)</f>
        <v>A-322-2604</v>
      </c>
      <c r="D279" s="370" t="str">
        <f>VLOOKUP(Table2[[#This Row],[Course Title]],'TSD-Data'!$A$1:$E$70,3,FALSE)</f>
        <v>10ZZ</v>
      </c>
      <c r="E279" s="369" t="s">
        <v>86</v>
      </c>
      <c r="F279" s="371">
        <v>46139</v>
      </c>
      <c r="G279" s="371">
        <v>46141</v>
      </c>
      <c r="H279" s="371" t="s">
        <v>752</v>
      </c>
      <c r="I279" s="372"/>
      <c r="J279" s="372">
        <v>0.33333333333333331</v>
      </c>
      <c r="K279" s="372">
        <v>0.20833333333333334</v>
      </c>
      <c r="L279" s="372">
        <v>0.625</v>
      </c>
      <c r="M279" s="372">
        <v>0.54166666666666663</v>
      </c>
      <c r="N279" s="372">
        <v>8.3333333333333329E-2</v>
      </c>
      <c r="O279" s="372">
        <v>0.875</v>
      </c>
      <c r="P279" s="375" t="s">
        <v>252</v>
      </c>
      <c r="Q279" s="375"/>
      <c r="R279" s="376"/>
      <c r="S279" s="370">
        <f>VLOOKUP(Table2[[#This Row],[Course Title]],'TSD-Data'!$A$1:$E$70,4,FALSE)</f>
        <v>45</v>
      </c>
      <c r="T279" s="377">
        <f>VLOOKUP(Table2[[#This Row],[Course Title]],'TSD-Data'!$A$1:$F$70,6,FALSE)</f>
        <v>24</v>
      </c>
      <c r="U279" s="378">
        <f>VLOOKUP(Table2[[#This Row],[Course Title]],'TSD-Data'!$A$1:$F$70,5,FALSE)</f>
        <v>3</v>
      </c>
      <c r="V279" s="379">
        <v>316</v>
      </c>
      <c r="W279" s="377"/>
      <c r="X279" s="377"/>
      <c r="Y279" s="378"/>
      <c r="Z279" s="378"/>
      <c r="AA279" s="370"/>
      <c r="AB279" s="370"/>
      <c r="AC279" s="370"/>
      <c r="AD279" s="370"/>
      <c r="AE279" s="378">
        <f ca="1">Table2[[#This Row],[End Date]]+2-TODAY()</f>
        <v>325</v>
      </c>
      <c r="AF279" s="370">
        <f>IF(ISBLANK(Table2[[#This Row],[Roster Received by]]),1,0)</f>
        <v>1</v>
      </c>
      <c r="AG279" s="377">
        <f ca="1">IF(Table2[[#This Row],[Start Date]]&gt;TODAY(),1,)</f>
        <v>1</v>
      </c>
      <c r="AH279" s="377">
        <f>IF(ISBLANK(Table2[[#This Row],[Primary Instructor]]),0,1)</f>
        <v>1</v>
      </c>
      <c r="AI279" s="377">
        <f>IF(ISBLANK(Table2[[#This Row],[Instructor 2]]),0,1)</f>
        <v>0</v>
      </c>
      <c r="AJ279" s="377">
        <f>Table2[[#This Row],[Course Length (Hours)]]/(SUM(Table2[[#This Row],[1]:[2]]))</f>
        <v>24</v>
      </c>
      <c r="AK279" s="370"/>
      <c r="AL279" s="377">
        <v>3</v>
      </c>
      <c r="AM279" s="403" t="str">
        <f>VLOOKUP(Table2[[#This Row],[Course Title]],'TSD-Data'!$A$1:$G$70,7,FALSE)</f>
        <v>N3</v>
      </c>
    </row>
    <row r="280" spans="1:39" s="380" customFormat="1" x14ac:dyDescent="0.25">
      <c r="A280" s="368"/>
      <c r="B280" s="369" t="s">
        <v>59</v>
      </c>
      <c r="C280" s="370" t="str">
        <f>VLOOKUP(Table2[[#This Row],[Course Title]],'TSD-Data'!$A$1:$E$70,2,FALSE)</f>
        <v>A-493-0550</v>
      </c>
      <c r="D280" s="370" t="str">
        <f>VLOOKUP(Table2[[#This Row],[Course Title]],'TSD-Data'!$A$1:$E$70,3,FALSE)</f>
        <v>09K5</v>
      </c>
      <c r="E280" s="369" t="s">
        <v>86</v>
      </c>
      <c r="F280" s="371">
        <v>46139</v>
      </c>
      <c r="G280" s="371">
        <v>46142</v>
      </c>
      <c r="H280" s="371" t="s">
        <v>752</v>
      </c>
      <c r="I280" s="372"/>
      <c r="J280" s="372">
        <v>0.5</v>
      </c>
      <c r="K280" s="381">
        <v>0.375</v>
      </c>
      <c r="L280" s="381">
        <v>0.79166666666666663</v>
      </c>
      <c r="M280" s="381">
        <v>0.75</v>
      </c>
      <c r="N280" s="381">
        <v>0.25</v>
      </c>
      <c r="O280" s="381">
        <v>4.1666666666666664E-2</v>
      </c>
      <c r="P280" s="375" t="s">
        <v>272</v>
      </c>
      <c r="Q280" s="375"/>
      <c r="R280" s="376"/>
      <c r="S280" s="370">
        <f>VLOOKUP(Table2[[#This Row],[Course Title]],'TSD-Data'!$A$1:$E$70,4,FALSE)</f>
        <v>45</v>
      </c>
      <c r="T280" s="377">
        <f>VLOOKUP(Table2[[#This Row],[Course Title]],'TSD-Data'!$A$1:$F$70,6,FALSE)</f>
        <v>32</v>
      </c>
      <c r="U280" s="378">
        <f>VLOOKUP(Table2[[#This Row],[Course Title]],'TSD-Data'!$A$1:$F$70,5,FALSE)</f>
        <v>4</v>
      </c>
      <c r="V280" s="379">
        <v>864</v>
      </c>
      <c r="W280" s="377"/>
      <c r="X280" s="377"/>
      <c r="Y280" s="378"/>
      <c r="Z280" s="378"/>
      <c r="AA280" s="370"/>
      <c r="AB280" s="370"/>
      <c r="AC280" s="370"/>
      <c r="AD280" s="370"/>
      <c r="AE280" s="378">
        <f ca="1">Table2[[#This Row],[End Date]]+2-TODAY()</f>
        <v>326</v>
      </c>
      <c r="AF280" s="370">
        <f>IF(ISBLANK(Table2[[#This Row],[Roster Received by]]),1,0)</f>
        <v>1</v>
      </c>
      <c r="AG280" s="377">
        <f ca="1">IF(Table2[[#This Row],[Start Date]]&gt;TODAY(),1,)</f>
        <v>1</v>
      </c>
      <c r="AH280" s="377">
        <f>IF(ISBLANK(Table2[[#This Row],[Primary Instructor]]),0,1)</f>
        <v>1</v>
      </c>
      <c r="AI280" s="377">
        <f>IF(ISBLANK(Table2[[#This Row],[Instructor 2]]),0,1)</f>
        <v>0</v>
      </c>
      <c r="AJ280" s="377">
        <f>Table2[[#This Row],[Course Length (Hours)]]/(SUM(Table2[[#This Row],[1]:[2]]))</f>
        <v>32</v>
      </c>
      <c r="AK280" s="370"/>
      <c r="AL280" s="377">
        <v>3</v>
      </c>
      <c r="AM280" s="403" t="str">
        <f>VLOOKUP(Table2[[#This Row],[Course Title]],'TSD-Data'!$A$1:$G$70,7,FALSE)</f>
        <v>N5</v>
      </c>
    </row>
    <row r="281" spans="1:39" s="380" customFormat="1" x14ac:dyDescent="0.25">
      <c r="A281" s="368"/>
      <c r="B281" s="369" t="s">
        <v>57</v>
      </c>
      <c r="C281" s="370" t="str">
        <f>VLOOKUP(Table2[[#This Row],[Course Title]],'TSD-Data'!$A$1:$E$70,2,FALSE)</f>
        <v>A-493-0099</v>
      </c>
      <c r="D281" s="370" t="str">
        <f>VLOOKUP(Table2[[#This Row],[Course Title]],'TSD-Data'!$A$1:$E$70,3,FALSE)</f>
        <v>12JW</v>
      </c>
      <c r="E281" s="369" t="s">
        <v>86</v>
      </c>
      <c r="F281" s="371">
        <v>46140</v>
      </c>
      <c r="G281" s="371">
        <v>46142</v>
      </c>
      <c r="H281" s="371" t="s">
        <v>752</v>
      </c>
      <c r="I281" s="372"/>
      <c r="J281" s="372">
        <v>0.33333333333333331</v>
      </c>
      <c r="K281" s="372">
        <v>0.20833333333333334</v>
      </c>
      <c r="L281" s="372">
        <v>0.625</v>
      </c>
      <c r="M281" s="372">
        <v>0.54166666666666663</v>
      </c>
      <c r="N281" s="372">
        <v>8.3333333333333329E-2</v>
      </c>
      <c r="O281" s="372">
        <v>0.875</v>
      </c>
      <c r="P281" s="375" t="s">
        <v>277</v>
      </c>
      <c r="Q281" s="375"/>
      <c r="R281" s="376"/>
      <c r="S281" s="370">
        <f>VLOOKUP(Table2[[#This Row],[Course Title]],'TSD-Data'!$A$1:$E$70,4,FALSE)</f>
        <v>45</v>
      </c>
      <c r="T281" s="377">
        <f>VLOOKUP(Table2[[#This Row],[Course Title]],'TSD-Data'!$A$1:$F$70,6,FALSE)</f>
        <v>24</v>
      </c>
      <c r="U281" s="378">
        <f>VLOOKUP(Table2[[#This Row],[Course Title]],'TSD-Data'!$A$1:$F$70,5,FALSE)</f>
        <v>3</v>
      </c>
      <c r="V281" s="379">
        <v>334</v>
      </c>
      <c r="W281" s="377"/>
      <c r="X281" s="377"/>
      <c r="Y281" s="378"/>
      <c r="Z281" s="378"/>
      <c r="AA281" s="370"/>
      <c r="AB281" s="370"/>
      <c r="AC281" s="370"/>
      <c r="AD281" s="370"/>
      <c r="AE281" s="378">
        <f ca="1">Table2[[#This Row],[End Date]]+2-TODAY()</f>
        <v>326</v>
      </c>
      <c r="AF281" s="370">
        <f>IF(ISBLANK(Table2[[#This Row],[Roster Received by]]),1,0)</f>
        <v>1</v>
      </c>
      <c r="AG281" s="377">
        <f ca="1">IF(Table2[[#This Row],[Start Date]]&gt;TODAY(),1,)</f>
        <v>1</v>
      </c>
      <c r="AH281" s="377">
        <f>IF(ISBLANK(Table2[[#This Row],[Primary Instructor]]),0,1)</f>
        <v>1</v>
      </c>
      <c r="AI281" s="377">
        <f>IF(ISBLANK(Table2[[#This Row],[Instructor 2]]),0,1)</f>
        <v>0</v>
      </c>
      <c r="AJ281" s="377">
        <f>Table2[[#This Row],[Course Length (Hours)]]/(SUM(Table2[[#This Row],[1]:[2]]))</f>
        <v>24</v>
      </c>
      <c r="AK281" s="370"/>
      <c r="AL281" s="377">
        <v>3</v>
      </c>
      <c r="AM281" s="403" t="str">
        <f>VLOOKUP(Table2[[#This Row],[Course Title]],'TSD-Data'!$A$1:$G$70,7,FALSE)</f>
        <v>N5</v>
      </c>
    </row>
    <row r="282" spans="1:39" s="380" customFormat="1" x14ac:dyDescent="0.25">
      <c r="A282" s="368"/>
      <c r="B282" s="435" t="s">
        <v>50</v>
      </c>
      <c r="C282" s="370" t="str">
        <f>VLOOKUP(Table2[[#This Row],[Course Title]],'TSD-Data'!$A$1:$E$70,2,FALSE)</f>
        <v>A-493-0331</v>
      </c>
      <c r="D282" s="370" t="str">
        <f>VLOOKUP(Table2[[#This Row],[Course Title]],'TSD-Data'!$A$1:$E$70,3,FALSE)</f>
        <v>10UG</v>
      </c>
      <c r="E282" s="369" t="s">
        <v>86</v>
      </c>
      <c r="F282" s="371">
        <v>46140</v>
      </c>
      <c r="G282" s="371">
        <v>46142</v>
      </c>
      <c r="H282" s="371" t="s">
        <v>752</v>
      </c>
      <c r="I282" s="372"/>
      <c r="J282" s="372">
        <v>0.5</v>
      </c>
      <c r="K282" s="381">
        <v>0.375</v>
      </c>
      <c r="L282" s="381">
        <v>0.79166666666666663</v>
      </c>
      <c r="M282" s="381">
        <v>0.75</v>
      </c>
      <c r="N282" s="381">
        <v>0.25</v>
      </c>
      <c r="O282" s="381">
        <v>4.1666666666666664E-2</v>
      </c>
      <c r="P282" s="375" t="s">
        <v>297</v>
      </c>
      <c r="Q282" s="375"/>
      <c r="R282" s="376"/>
      <c r="S282" s="370">
        <f>VLOOKUP(Table2[[#This Row],[Course Title]],'TSD-Data'!$A$1:$E$70,4,FALSE)</f>
        <v>45</v>
      </c>
      <c r="T282" s="377">
        <f>VLOOKUP(Table2[[#This Row],[Course Title]],'TSD-Data'!$A$1:$F$70,6,FALSE)</f>
        <v>24</v>
      </c>
      <c r="U282" s="378">
        <f>VLOOKUP(Table2[[#This Row],[Course Title]],'TSD-Data'!$A$1:$F$70,5,FALSE)</f>
        <v>3</v>
      </c>
      <c r="V282" s="379">
        <v>844</v>
      </c>
      <c r="W282" s="377"/>
      <c r="X282" s="377"/>
      <c r="Y282" s="378"/>
      <c r="Z282" s="378"/>
      <c r="AA282" s="370"/>
      <c r="AB282" s="370"/>
      <c r="AC282" s="370"/>
      <c r="AD282" s="370"/>
      <c r="AE282" s="378">
        <f ca="1">Table2[[#This Row],[End Date]]+2-TODAY()</f>
        <v>326</v>
      </c>
      <c r="AF282" s="370">
        <f>IF(ISBLANK(Table2[[#This Row],[Roster Received by]]),1,0)</f>
        <v>1</v>
      </c>
      <c r="AG282" s="377">
        <f ca="1">IF(Table2[[#This Row],[Start Date]]&gt;TODAY(),1,)</f>
        <v>1</v>
      </c>
      <c r="AH282" s="377">
        <f>IF(ISBLANK(Table2[[#This Row],[Primary Instructor]]),0,1)</f>
        <v>1</v>
      </c>
      <c r="AI282" s="377">
        <f>IF(ISBLANK(Table2[[#This Row],[Instructor 2]]),0,1)</f>
        <v>0</v>
      </c>
      <c r="AJ282" s="377">
        <f>Table2[[#This Row],[Course Length (Hours)]]/(SUM(Table2[[#This Row],[1]:[2]]))</f>
        <v>24</v>
      </c>
      <c r="AK282" s="370"/>
      <c r="AL282" s="377">
        <v>3</v>
      </c>
      <c r="AM282" s="403" t="str">
        <f>VLOOKUP(Table2[[#This Row],[Course Title]],'TSD-Data'!$A$1:$G$70,7,FALSE)</f>
        <v>N3</v>
      </c>
    </row>
    <row r="283" spans="1:39" s="380" customFormat="1" x14ac:dyDescent="0.25">
      <c r="A283" s="425" t="s">
        <v>719</v>
      </c>
      <c r="B283" s="401" t="s">
        <v>17</v>
      </c>
      <c r="C283" s="370" t="str">
        <f>VLOOKUP(Table2[[#This Row],[Course Title]],'TSD-Data'!$A$1:$E$70,2,FALSE)</f>
        <v>A-493-0012</v>
      </c>
      <c r="D283" s="370">
        <f>VLOOKUP(Table2[[#This Row],[Course Title]],'TSD-Data'!$A$1:$E$70,3,FALSE)</f>
        <v>3682</v>
      </c>
      <c r="E283" s="401" t="s">
        <v>316</v>
      </c>
      <c r="F283" s="426">
        <v>46142</v>
      </c>
      <c r="G283" s="426">
        <v>46145</v>
      </c>
      <c r="H283" s="426" t="s">
        <v>753</v>
      </c>
      <c r="I283" s="372">
        <v>0.33333333333333331</v>
      </c>
      <c r="J283" s="372"/>
      <c r="K283" s="371"/>
      <c r="L283" s="371"/>
      <c r="M283" s="371"/>
      <c r="N283" s="371"/>
      <c r="O283" s="371"/>
      <c r="P283" s="375" t="s">
        <v>241</v>
      </c>
      <c r="Q283" s="375"/>
      <c r="R283" s="376"/>
      <c r="S283" s="370">
        <f>VLOOKUP(Table2[[#This Row],[Course Title]],'TSD-Data'!$A$1:$E$70,4,FALSE)</f>
        <v>40</v>
      </c>
      <c r="T283" s="377">
        <f>VLOOKUP(Table2[[#This Row],[Course Title]],'TSD-Data'!$A$1:$F$70,6,FALSE)</f>
        <v>40</v>
      </c>
      <c r="U283" s="378">
        <f>VLOOKUP(Table2[[#This Row],[Course Title]],'TSD-Data'!$A$1:$F$70,5,FALSE)</f>
        <v>5</v>
      </c>
      <c r="V283" s="377">
        <v>30</v>
      </c>
      <c r="W283" s="377"/>
      <c r="X283" s="377"/>
      <c r="Y283" s="378"/>
      <c r="Z283" s="378"/>
      <c r="AA283" s="370"/>
      <c r="AB283" s="370"/>
      <c r="AC283" s="370"/>
      <c r="AD283" s="370"/>
      <c r="AE283" s="378" t="e">
        <v>#REF!</v>
      </c>
      <c r="AF283" s="370">
        <v>0</v>
      </c>
      <c r="AG283" s="377" t="e">
        <v>#REF!</v>
      </c>
      <c r="AH283" s="377">
        <v>1</v>
      </c>
      <c r="AI283" s="377">
        <v>1</v>
      </c>
      <c r="AJ283" s="377" t="e">
        <v>#VALUE!</v>
      </c>
      <c r="AK283" s="370"/>
      <c r="AL283" s="377">
        <v>3</v>
      </c>
      <c r="AM283" s="403" t="str">
        <f>VLOOKUP(Table2[[#This Row],[Course Title]],'TSD-Data'!$A$1:$G$70,7,FALSE)</f>
        <v>N4</v>
      </c>
    </row>
    <row r="284" spans="1:39" s="380" customFormat="1" x14ac:dyDescent="0.25">
      <c r="A284" s="413"/>
      <c r="B284" s="369" t="s">
        <v>31</v>
      </c>
      <c r="C284" s="370" t="str">
        <f>VLOOKUP(Table2[[#This Row],[Course Title]],'TSD-Data'!$A$1:$E$70,2,FALSE)</f>
        <v>A-493-0083</v>
      </c>
      <c r="D284" s="370" t="str">
        <f>VLOOKUP(Table2[[#This Row],[Course Title]],'TSD-Data'!$A$1:$E$70,3,FALSE)</f>
        <v>339E</v>
      </c>
      <c r="E284" s="414" t="s">
        <v>305</v>
      </c>
      <c r="F284" s="416">
        <v>46142</v>
      </c>
      <c r="G284" s="416">
        <v>46142</v>
      </c>
      <c r="H284" s="426" t="s">
        <v>753</v>
      </c>
      <c r="I284" s="417">
        <v>0.33333333333333331</v>
      </c>
      <c r="J284" s="417"/>
      <c r="K284" s="416"/>
      <c r="L284" s="416"/>
      <c r="M284" s="416"/>
      <c r="N284" s="416"/>
      <c r="O284" s="416"/>
      <c r="P284" s="418" t="s">
        <v>241</v>
      </c>
      <c r="Q284" s="418"/>
      <c r="R284" s="376"/>
      <c r="S284" s="370">
        <f>VLOOKUP(Table2[[#This Row],[Course Title]],'TSD-Data'!$A$1:$E$70,4,FALSE)</f>
        <v>30</v>
      </c>
      <c r="T284" s="377">
        <f>VLOOKUP(Table2[[#This Row],[Course Title]],'TSD-Data'!$A$1:$F$70,6,FALSE)</f>
        <v>8</v>
      </c>
      <c r="U284" s="378">
        <f>VLOOKUP(Table2[[#This Row],[Course Title]],'TSD-Data'!$A$1:$F$70,5,FALSE)</f>
        <v>1</v>
      </c>
      <c r="V284" s="379">
        <v>20</v>
      </c>
      <c r="W284" s="377"/>
      <c r="X284" s="377"/>
      <c r="Y284" s="420"/>
      <c r="Z284" s="420"/>
      <c r="AA284" s="415"/>
      <c r="AB284" s="415"/>
      <c r="AC284" s="421"/>
      <c r="AD284" s="421"/>
      <c r="AE284" s="420">
        <v>337</v>
      </c>
      <c r="AF284" s="415">
        <v>1</v>
      </c>
      <c r="AG284" s="403">
        <v>1</v>
      </c>
      <c r="AH284" s="403">
        <v>1</v>
      </c>
      <c r="AI284" s="403">
        <v>0</v>
      </c>
      <c r="AJ284" s="403">
        <v>8</v>
      </c>
      <c r="AK284" s="415"/>
      <c r="AL284" s="377">
        <v>3</v>
      </c>
      <c r="AM284" s="403" t="str">
        <f>VLOOKUP(Table2[[#This Row],[Course Title]],'TSD-Data'!$A$1:$G$70,7,FALSE)</f>
        <v>N4</v>
      </c>
    </row>
    <row r="285" spans="1:39" s="380" customFormat="1" x14ac:dyDescent="0.25">
      <c r="A285" s="368"/>
      <c r="B285" s="432" t="s">
        <v>55</v>
      </c>
      <c r="C285" s="370" t="str">
        <f>VLOOKUP(Table2[[#This Row],[Course Title]],'TSD-Data'!$A$1:$E$70,2,FALSE)</f>
        <v>A-493-0103</v>
      </c>
      <c r="D285" s="370" t="str">
        <f>VLOOKUP(Table2[[#This Row],[Course Title]],'TSD-Data'!$A$1:$E$70,3,FALSE)</f>
        <v>12JY</v>
      </c>
      <c r="E285" s="369" t="s">
        <v>414</v>
      </c>
      <c r="F285" s="371">
        <v>46146</v>
      </c>
      <c r="G285" s="371">
        <v>46150</v>
      </c>
      <c r="H285" s="371" t="s">
        <v>752</v>
      </c>
      <c r="I285" s="372">
        <v>0.33333333333333331</v>
      </c>
      <c r="J285" s="372"/>
      <c r="K285" s="437"/>
      <c r="L285" s="371"/>
      <c r="M285" s="371"/>
      <c r="N285" s="371"/>
      <c r="O285" s="371"/>
      <c r="P285" s="375" t="s">
        <v>289</v>
      </c>
      <c r="Q285" s="375"/>
      <c r="R285" s="376"/>
      <c r="S285" s="370">
        <f>VLOOKUP(Table2[[#This Row],[Course Title]],'TSD-Data'!$A$1:$E$70,4,FALSE)</f>
        <v>25</v>
      </c>
      <c r="T285" s="377">
        <f>VLOOKUP(Table2[[#This Row],[Course Title]],'TSD-Data'!$A$1:$F$70,6,FALSE)</f>
        <v>40</v>
      </c>
      <c r="U285" s="378">
        <f>VLOOKUP(Table2[[#This Row],[Course Title]],'TSD-Data'!$A$1:$F$70,5,FALSE)</f>
        <v>5</v>
      </c>
      <c r="V285" s="379">
        <v>27</v>
      </c>
      <c r="W285" s="377"/>
      <c r="X285" s="377"/>
      <c r="Y285" s="378"/>
      <c r="Z285" s="378"/>
      <c r="AA285" s="370"/>
      <c r="AB285" s="370"/>
      <c r="AC285" s="370"/>
      <c r="AD285" s="370"/>
      <c r="AE285" s="378">
        <f ca="1">Table2[[#This Row],[End Date]]+2-TODAY()</f>
        <v>334</v>
      </c>
      <c r="AF285" s="370">
        <f>IF(ISBLANK(Table2[[#This Row],[Roster Received by]]),1,0)</f>
        <v>1</v>
      </c>
      <c r="AG285" s="377">
        <f ca="1">IF(Table2[[#This Row],[Start Date]]&gt;TODAY(),1,)</f>
        <v>1</v>
      </c>
      <c r="AH285" s="377">
        <f>IF(ISBLANK(Table2[[#This Row],[Primary Instructor]]),0,1)</f>
        <v>1</v>
      </c>
      <c r="AI285" s="377">
        <f>IF(ISBLANK(Table2[[#This Row],[Instructor 2]]),0,1)</f>
        <v>0</v>
      </c>
      <c r="AJ285" s="377">
        <f>Table2[[#This Row],[Course Length (Hours)]]/(SUM(Table2[[#This Row],[1]:[2]]))</f>
        <v>40</v>
      </c>
      <c r="AK285" s="370"/>
      <c r="AL285" s="377">
        <v>3</v>
      </c>
      <c r="AM285" s="403" t="str">
        <f>VLOOKUP(Table2[[#This Row],[Course Title]],'TSD-Data'!$A$1:$G$70,7,FALSE)</f>
        <v>N5</v>
      </c>
    </row>
    <row r="286" spans="1:39" s="380" customFormat="1" x14ac:dyDescent="0.25">
      <c r="A286" s="368"/>
      <c r="B286" s="432" t="s">
        <v>47</v>
      </c>
      <c r="C286" s="370" t="str">
        <f>VLOOKUP(Table2[[#This Row],[Course Title]],'TSD-Data'!$A$1:$E$70,2,FALSE)</f>
        <v>A-493-0030</v>
      </c>
      <c r="D286" s="370" t="str">
        <f>VLOOKUP(Table2[[#This Row],[Course Title]],'TSD-Data'!$A$1:$E$70,3,FALSE)</f>
        <v>286X</v>
      </c>
      <c r="E286" s="369" t="s">
        <v>86</v>
      </c>
      <c r="F286" s="371">
        <v>46146</v>
      </c>
      <c r="G286" s="371">
        <v>46150</v>
      </c>
      <c r="H286" s="371" t="s">
        <v>752</v>
      </c>
      <c r="I286" s="392"/>
      <c r="J286" s="372">
        <v>0.33333333333333331</v>
      </c>
      <c r="K286" s="372">
        <v>0.20833333333333334</v>
      </c>
      <c r="L286" s="372">
        <v>0.625</v>
      </c>
      <c r="M286" s="372">
        <v>0.54166666666666663</v>
      </c>
      <c r="N286" s="372">
        <v>8.3333333333333329E-2</v>
      </c>
      <c r="O286" s="372">
        <v>0.875</v>
      </c>
      <c r="P286" s="375" t="s">
        <v>304</v>
      </c>
      <c r="Q286" s="375"/>
      <c r="R286" s="376"/>
      <c r="S286" s="370">
        <f>VLOOKUP(Table2[[#This Row],[Course Title]],'TSD-Data'!$A$1:$E$70,4,FALSE)</f>
        <v>25</v>
      </c>
      <c r="T286" s="377">
        <f>VLOOKUP(Table2[[#This Row],[Course Title]],'TSD-Data'!$A$1:$F$70,6,FALSE)</f>
        <v>40</v>
      </c>
      <c r="U286" s="378">
        <f>VLOOKUP(Table2[[#This Row],[Course Title]],'TSD-Data'!$A$1:$F$70,5,FALSE)</f>
        <v>5</v>
      </c>
      <c r="V286" s="379">
        <v>0</v>
      </c>
      <c r="W286" s="377"/>
      <c r="X286" s="377"/>
      <c r="Y286" s="378"/>
      <c r="Z286" s="378"/>
      <c r="AA286" s="370"/>
      <c r="AB286" s="370"/>
      <c r="AC286" s="370"/>
      <c r="AD286" s="370"/>
      <c r="AE286" s="378">
        <f ca="1">Table2[[#This Row],[End Date]]+2-TODAY()</f>
        <v>334</v>
      </c>
      <c r="AF286" s="370">
        <f>IF(ISBLANK(Table2[[#This Row],[Roster Received by]]),1,0)</f>
        <v>1</v>
      </c>
      <c r="AG286" s="377">
        <f ca="1">IF(Table2[[#This Row],[Start Date]]&gt;TODAY(),1,)</f>
        <v>1</v>
      </c>
      <c r="AH286" s="377">
        <f>IF(ISBLANK(Table2[[#This Row],[Primary Instructor]]),0,1)</f>
        <v>1</v>
      </c>
      <c r="AI286" s="377">
        <f>IF(ISBLANK(Table2[[#This Row],[Instructor 2]]),0,1)</f>
        <v>0</v>
      </c>
      <c r="AJ286" s="377">
        <f>Table2[[#This Row],[Course Length (Hours)]]/(SUM(Table2[[#This Row],[1]:[2]]))</f>
        <v>40</v>
      </c>
      <c r="AK286" s="370"/>
      <c r="AL286" s="377">
        <v>3</v>
      </c>
      <c r="AM286" s="403" t="str">
        <f>VLOOKUP(Table2[[#This Row],[Course Title]],'TSD-Data'!$A$1:$G$70,7,FALSE)</f>
        <v>N3</v>
      </c>
    </row>
    <row r="287" spans="1:39" s="380" customFormat="1" x14ac:dyDescent="0.25">
      <c r="A287" s="425" t="s">
        <v>720</v>
      </c>
      <c r="B287" s="401" t="s">
        <v>17</v>
      </c>
      <c r="C287" s="370" t="str">
        <f>VLOOKUP(Table2[[#This Row],[Course Title]],'TSD-Data'!$A$1:$E$70,2,FALSE)</f>
        <v>A-493-0012</v>
      </c>
      <c r="D287" s="370">
        <f>VLOOKUP(Table2[[#This Row],[Course Title]],'TSD-Data'!$A$1:$E$70,3,FALSE)</f>
        <v>3682</v>
      </c>
      <c r="E287" s="401" t="s">
        <v>409</v>
      </c>
      <c r="F287" s="426">
        <v>46146</v>
      </c>
      <c r="G287" s="426">
        <v>46150</v>
      </c>
      <c r="H287" s="426" t="s">
        <v>753</v>
      </c>
      <c r="I287" s="372">
        <v>0.33333333333333331</v>
      </c>
      <c r="J287" s="372"/>
      <c r="K287" s="371"/>
      <c r="L287" s="371"/>
      <c r="M287" s="371"/>
      <c r="N287" s="371"/>
      <c r="O287" s="371"/>
      <c r="P287" s="375" t="s">
        <v>241</v>
      </c>
      <c r="Q287" s="375"/>
      <c r="R287" s="376"/>
      <c r="S287" s="370">
        <f>VLOOKUP(Table2[[#This Row],[Course Title]],'TSD-Data'!$A$1:$E$70,4,FALSE)</f>
        <v>40</v>
      </c>
      <c r="T287" s="377">
        <f>VLOOKUP(Table2[[#This Row],[Course Title]],'TSD-Data'!$A$1:$F$70,6,FALSE)</f>
        <v>40</v>
      </c>
      <c r="U287" s="378">
        <f>VLOOKUP(Table2[[#This Row],[Course Title]],'TSD-Data'!$A$1:$F$70,5,FALSE)</f>
        <v>5</v>
      </c>
      <c r="V287" s="377">
        <v>30</v>
      </c>
      <c r="W287" s="377"/>
      <c r="X287" s="377"/>
      <c r="Y287" s="378"/>
      <c r="Z287" s="378"/>
      <c r="AA287" s="370"/>
      <c r="AB287" s="370"/>
      <c r="AC287" s="370"/>
      <c r="AD287" s="370"/>
      <c r="AE287" s="378" t="e">
        <v>#REF!</v>
      </c>
      <c r="AF287" s="370">
        <v>0</v>
      </c>
      <c r="AG287" s="377" t="e">
        <v>#REF!</v>
      </c>
      <c r="AH287" s="377">
        <v>1</v>
      </c>
      <c r="AI287" s="377">
        <v>1</v>
      </c>
      <c r="AJ287" s="377" t="e">
        <v>#VALUE!</v>
      </c>
      <c r="AK287" s="370"/>
      <c r="AL287" s="377">
        <v>3</v>
      </c>
      <c r="AM287" s="403" t="str">
        <f>VLOOKUP(Table2[[#This Row],[Course Title]],'TSD-Data'!$A$1:$G$70,7,FALSE)</f>
        <v>N4</v>
      </c>
    </row>
    <row r="288" spans="1:39" s="380" customFormat="1" x14ac:dyDescent="0.25">
      <c r="A288" s="413" t="s">
        <v>733</v>
      </c>
      <c r="B288" s="414" t="s">
        <v>28</v>
      </c>
      <c r="C288" s="370" t="str">
        <f>VLOOKUP(Table2[[#This Row],[Course Title]],'TSD-Data'!$A$1:$E$70,2,FALSE)</f>
        <v>A-493-0013</v>
      </c>
      <c r="D288" s="370">
        <f>VLOOKUP(Table2[[#This Row],[Course Title]],'TSD-Data'!$A$1:$E$70,3,FALSE)</f>
        <v>3683</v>
      </c>
      <c r="E288" s="414" t="s">
        <v>298</v>
      </c>
      <c r="F288" s="416">
        <v>46146</v>
      </c>
      <c r="G288" s="416">
        <v>46148</v>
      </c>
      <c r="H288" s="426" t="s">
        <v>753</v>
      </c>
      <c r="I288" s="417">
        <v>0.33333333333333331</v>
      </c>
      <c r="J288" s="417"/>
      <c r="K288" s="416"/>
      <c r="L288" s="416"/>
      <c r="M288" s="416"/>
      <c r="N288" s="416"/>
      <c r="O288" s="416"/>
      <c r="P288" s="418" t="s">
        <v>241</v>
      </c>
      <c r="Q288" s="418"/>
      <c r="R288" s="376"/>
      <c r="S288" s="370">
        <f>VLOOKUP(Table2[[#This Row],[Course Title]],'TSD-Data'!$A$1:$E$70,4,FALSE)</f>
        <v>40</v>
      </c>
      <c r="T288" s="377">
        <f>VLOOKUP(Table2[[#This Row],[Course Title]],'TSD-Data'!$A$1:$F$70,6,FALSE)</f>
        <v>24</v>
      </c>
      <c r="U288" s="378">
        <f>VLOOKUP(Table2[[#This Row],[Course Title]],'TSD-Data'!$A$1:$F$70,5,FALSE)</f>
        <v>3</v>
      </c>
      <c r="V288" s="379">
        <v>30</v>
      </c>
      <c r="W288" s="377"/>
      <c r="X288" s="377"/>
      <c r="Y288" s="420"/>
      <c r="Z288" s="420"/>
      <c r="AA288" s="415"/>
      <c r="AB288" s="415"/>
      <c r="AC288" s="421"/>
      <c r="AD288" s="421"/>
      <c r="AE288" s="420">
        <v>343</v>
      </c>
      <c r="AF288" s="415">
        <v>1</v>
      </c>
      <c r="AG288" s="403">
        <v>1</v>
      </c>
      <c r="AH288" s="403">
        <v>1</v>
      </c>
      <c r="AI288" s="403">
        <v>0</v>
      </c>
      <c r="AJ288" s="403">
        <v>24</v>
      </c>
      <c r="AK288" s="415"/>
      <c r="AL288" s="377">
        <v>3</v>
      </c>
      <c r="AM288" s="403" t="str">
        <f>VLOOKUP(Table2[[#This Row],[Course Title]],'TSD-Data'!$A$1:$G$70,7,FALSE)</f>
        <v>N4</v>
      </c>
    </row>
    <row r="289" spans="1:39" s="380" customFormat="1" x14ac:dyDescent="0.25">
      <c r="A289" s="368"/>
      <c r="B289" s="369" t="s">
        <v>120</v>
      </c>
      <c r="C289" s="370" t="str">
        <f>VLOOKUP(Table2[[#This Row],[Course Title]],'TSD-Data'!$A$1:$E$70,2,FALSE)</f>
        <v>A-322-2604</v>
      </c>
      <c r="D289" s="370" t="str">
        <f>VLOOKUP(Table2[[#This Row],[Course Title]],'TSD-Data'!$A$1:$E$70,3,FALSE)</f>
        <v>10ZZ</v>
      </c>
      <c r="E289" s="369" t="s">
        <v>86</v>
      </c>
      <c r="F289" s="371">
        <v>46146</v>
      </c>
      <c r="G289" s="371">
        <v>46148</v>
      </c>
      <c r="H289" s="371" t="s">
        <v>752</v>
      </c>
      <c r="I289" s="372"/>
      <c r="J289" s="399">
        <v>0.5</v>
      </c>
      <c r="K289" s="381">
        <v>0.375</v>
      </c>
      <c r="L289" s="381">
        <v>0.79166666666666663</v>
      </c>
      <c r="M289" s="381">
        <v>0.75</v>
      </c>
      <c r="N289" s="381">
        <v>0.25</v>
      </c>
      <c r="O289" s="381">
        <v>4.1666666666666664E-2</v>
      </c>
      <c r="P289" s="375" t="s">
        <v>252</v>
      </c>
      <c r="Q289" s="375"/>
      <c r="R289" s="376"/>
      <c r="S289" s="370">
        <f>VLOOKUP(Table2[[#This Row],[Course Title]],'TSD-Data'!$A$1:$E$70,4,FALSE)</f>
        <v>45</v>
      </c>
      <c r="T289" s="377">
        <f>VLOOKUP(Table2[[#This Row],[Course Title]],'TSD-Data'!$A$1:$F$70,6,FALSE)</f>
        <v>24</v>
      </c>
      <c r="U289" s="378">
        <f>VLOOKUP(Table2[[#This Row],[Course Title]],'TSD-Data'!$A$1:$F$70,5,FALSE)</f>
        <v>3</v>
      </c>
      <c r="V289" s="379">
        <v>621</v>
      </c>
      <c r="W289" s="377"/>
      <c r="X289" s="377"/>
      <c r="Y289" s="378"/>
      <c r="Z289" s="378"/>
      <c r="AA289" s="370"/>
      <c r="AB289" s="370"/>
      <c r="AC289" s="370"/>
      <c r="AD289" s="370"/>
      <c r="AE289" s="378">
        <f ca="1">Table2[[#This Row],[End Date]]+2-TODAY()</f>
        <v>332</v>
      </c>
      <c r="AF289" s="370">
        <f>IF(ISBLANK(Table2[[#This Row],[Roster Received by]]),1,0)</f>
        <v>1</v>
      </c>
      <c r="AG289" s="377">
        <f ca="1">IF(Table2[[#This Row],[Start Date]]&gt;TODAY(),1,)</f>
        <v>1</v>
      </c>
      <c r="AH289" s="377">
        <f>IF(ISBLANK(Table2[[#This Row],[Primary Instructor]]),0,1)</f>
        <v>1</v>
      </c>
      <c r="AI289" s="377">
        <f>IF(ISBLANK(Table2[[#This Row],[Instructor 2]]),0,1)</f>
        <v>0</v>
      </c>
      <c r="AJ289" s="377">
        <f>Table2[[#This Row],[Course Length (Hours)]]/(SUM(Table2[[#This Row],[1]:[2]]))</f>
        <v>24</v>
      </c>
      <c r="AK289" s="370"/>
      <c r="AL289" s="377">
        <v>3</v>
      </c>
      <c r="AM289" s="403" t="str">
        <f>VLOOKUP(Table2[[#This Row],[Course Title]],'TSD-Data'!$A$1:$G$70,7,FALSE)</f>
        <v>N3</v>
      </c>
    </row>
    <row r="290" spans="1:39" s="380" customFormat="1" x14ac:dyDescent="0.25">
      <c r="A290" s="368"/>
      <c r="B290" s="369" t="s">
        <v>29</v>
      </c>
      <c r="C290" s="370" t="str">
        <f>VLOOKUP(Table2[[#This Row],[Course Title]],'TSD-Data'!$A$1:$E$70,2,FALSE)</f>
        <v>A-493-0077</v>
      </c>
      <c r="D290" s="370" t="str">
        <f>VLOOKUP(Table2[[#This Row],[Course Title]],'TSD-Data'!$A$1:$E$70,3,FALSE)</f>
        <v>0381</v>
      </c>
      <c r="E290" s="369" t="s">
        <v>170</v>
      </c>
      <c r="F290" s="371">
        <v>46146</v>
      </c>
      <c r="G290" s="371">
        <v>46148</v>
      </c>
      <c r="H290" s="426" t="s">
        <v>753</v>
      </c>
      <c r="I290" s="372">
        <v>800.33333333333337</v>
      </c>
      <c r="J290" s="372"/>
      <c r="K290" s="371"/>
      <c r="L290" s="371"/>
      <c r="M290" s="371"/>
      <c r="N290" s="371"/>
      <c r="O290" s="371"/>
      <c r="P290" s="375" t="s">
        <v>241</v>
      </c>
      <c r="Q290" s="375"/>
      <c r="R290" s="376"/>
      <c r="S290" s="370">
        <f>VLOOKUP(Table2[[#This Row],[Course Title]],'TSD-Data'!$A$1:$E$70,4,FALSE)</f>
        <v>25</v>
      </c>
      <c r="T290" s="377">
        <f>VLOOKUP(Table2[[#This Row],[Course Title]],'TSD-Data'!$A$1:$F$70,6,FALSE)</f>
        <v>24</v>
      </c>
      <c r="U290" s="378">
        <f>VLOOKUP(Table2[[#This Row],[Course Title]],'TSD-Data'!$A$1:$F$70,5,FALSE)</f>
        <v>3</v>
      </c>
      <c r="V290" s="379">
        <v>72</v>
      </c>
      <c r="W290" s="377"/>
      <c r="X290" s="377"/>
      <c r="Y290" s="378"/>
      <c r="Z290" s="378"/>
      <c r="AA290" s="370"/>
      <c r="AB290" s="370"/>
      <c r="AC290" s="370"/>
      <c r="AD290" s="370"/>
      <c r="AE290" s="378">
        <f ca="1">Table2[[#This Row],[End Date]]+2-TODAY()</f>
        <v>332</v>
      </c>
      <c r="AF290" s="370">
        <f>IF(ISBLANK(Table2[[#This Row],[Roster Received by]]),1,0)</f>
        <v>1</v>
      </c>
      <c r="AG290" s="377">
        <f ca="1">IF(Table2[[#This Row],[Start Date]]&gt;TODAY(),1,)</f>
        <v>1</v>
      </c>
      <c r="AH290" s="377">
        <f>IF(ISBLANK(Table2[[#This Row],[Primary Instructor]]),0,1)</f>
        <v>1</v>
      </c>
      <c r="AI290" s="377">
        <f>IF(ISBLANK(Table2[[#This Row],[Instructor 2]]),0,1)</f>
        <v>0</v>
      </c>
      <c r="AJ290" s="377">
        <f>Table2[[#This Row],[Course Length (Hours)]]/(SUM(Table2[[#This Row],[1]:[2]]))</f>
        <v>24</v>
      </c>
      <c r="AK290" s="370"/>
      <c r="AL290" s="377">
        <v>3</v>
      </c>
      <c r="AM290" s="403" t="str">
        <f>VLOOKUP(Table2[[#This Row],[Course Title]],'TSD-Data'!$A$1:$G$70,7,FALSE)</f>
        <v>N4</v>
      </c>
    </row>
    <row r="291" spans="1:39" s="380" customFormat="1" x14ac:dyDescent="0.25">
      <c r="A291" s="368"/>
      <c r="B291" s="432" t="s">
        <v>313</v>
      </c>
      <c r="C291" s="370" t="str">
        <f>VLOOKUP(Table2[[#This Row],[Course Title]],'TSD-Data'!$A$1:$E$70,2,FALSE)</f>
        <v>A-493-0078</v>
      </c>
      <c r="D291" s="370">
        <f>VLOOKUP(Table2[[#This Row],[Course Title]],'TSD-Data'!$A$1:$E$70,3,FALSE)</f>
        <v>1228</v>
      </c>
      <c r="E291" s="369" t="s">
        <v>169</v>
      </c>
      <c r="F291" s="371">
        <v>46146</v>
      </c>
      <c r="G291" s="371">
        <v>45785</v>
      </c>
      <c r="H291" s="371" t="s">
        <v>752</v>
      </c>
      <c r="I291" s="372">
        <v>0.33333333333333331</v>
      </c>
      <c r="J291" s="372"/>
      <c r="K291" s="371"/>
      <c r="L291" s="371"/>
      <c r="M291" s="371"/>
      <c r="N291" s="371"/>
      <c r="O291" s="371"/>
      <c r="P291" s="375" t="s">
        <v>256</v>
      </c>
      <c r="Q291" s="375"/>
      <c r="R291" s="376"/>
      <c r="S291" s="370">
        <f>VLOOKUP(Table2[[#This Row],[Course Title]],'TSD-Data'!$A$1:$E$70,4,FALSE)</f>
        <v>30</v>
      </c>
      <c r="T291" s="377">
        <f>VLOOKUP(Table2[[#This Row],[Course Title]],'TSD-Data'!$A$1:$F$70,6,FALSE)</f>
        <v>32</v>
      </c>
      <c r="U291" s="378">
        <f>VLOOKUP(Table2[[#This Row],[Course Title]],'TSD-Data'!$A$1:$F$70,5,FALSE)</f>
        <v>4</v>
      </c>
      <c r="V291" s="379">
        <v>0</v>
      </c>
      <c r="W291" s="377"/>
      <c r="X291" s="377"/>
      <c r="Y291" s="378"/>
      <c r="Z291" s="378"/>
      <c r="AA291" s="370"/>
      <c r="AB291" s="370"/>
      <c r="AC291" s="370"/>
      <c r="AD291" s="370"/>
      <c r="AE291" s="378">
        <f ca="1">Table2[[#This Row],[End Date]]+2-TODAY()</f>
        <v>-31</v>
      </c>
      <c r="AF291" s="370">
        <f>IF(ISBLANK(Table2[[#This Row],[Roster Received by]]),1,0)</f>
        <v>1</v>
      </c>
      <c r="AG291" s="377">
        <f ca="1">IF(Table2[[#This Row],[Start Date]]&gt;TODAY(),1,)</f>
        <v>1</v>
      </c>
      <c r="AH291" s="377">
        <f>IF(ISBLANK(Table2[[#This Row],[Primary Instructor]]),0,1)</f>
        <v>1</v>
      </c>
      <c r="AI291" s="377">
        <f>IF(ISBLANK(Table2[[#This Row],[Instructor 2]]),0,1)</f>
        <v>0</v>
      </c>
      <c r="AJ291" s="377">
        <f>Table2[[#This Row],[Course Length (Hours)]]/(SUM(Table2[[#This Row],[1]:[2]]))</f>
        <v>32</v>
      </c>
      <c r="AK291" s="370"/>
      <c r="AL291" s="377">
        <v>3</v>
      </c>
      <c r="AM291" s="403" t="str">
        <f>VLOOKUP(Table2[[#This Row],[Course Title]],'TSD-Data'!$A$1:$G$70,7,FALSE)</f>
        <v>N5</v>
      </c>
    </row>
    <row r="292" spans="1:39" s="380" customFormat="1" x14ac:dyDescent="0.25">
      <c r="A292" s="368" t="s">
        <v>569</v>
      </c>
      <c r="B292" s="369" t="s">
        <v>53</v>
      </c>
      <c r="C292" s="370" t="str">
        <f>VLOOKUP(Table2[[#This Row],[Course Title]],'TSD-Data'!$A$1:$E$70,2,FALSE)</f>
        <v>A-493-0072</v>
      </c>
      <c r="D292" s="370" t="str">
        <f>VLOOKUP(Table2[[#This Row],[Course Title]],'TSD-Data'!$A$1:$E$70,3,FALSE)</f>
        <v>713U</v>
      </c>
      <c r="E292" s="369" t="s">
        <v>182</v>
      </c>
      <c r="F292" s="371">
        <v>46146</v>
      </c>
      <c r="G292" s="371">
        <v>46150</v>
      </c>
      <c r="H292" s="371" t="s">
        <v>752</v>
      </c>
      <c r="I292" s="372">
        <v>0.33333333333333331</v>
      </c>
      <c r="J292" s="372"/>
      <c r="K292" s="371"/>
      <c r="L292" s="371"/>
      <c r="M292" s="371"/>
      <c r="N292" s="371"/>
      <c r="O292" s="371"/>
      <c r="P292" s="375" t="s">
        <v>293</v>
      </c>
      <c r="Q292" s="375"/>
      <c r="R292" s="376" t="s">
        <v>248</v>
      </c>
      <c r="S292" s="370">
        <f>VLOOKUP(Table2[[#This Row],[Course Title]],'TSD-Data'!$A$1:$E$70,4,FALSE)</f>
        <v>30</v>
      </c>
      <c r="T292" s="377">
        <f>VLOOKUP(Table2[[#This Row],[Course Title]],'TSD-Data'!$A$1:$F$70,6,FALSE)</f>
        <v>40</v>
      </c>
      <c r="U292" s="378">
        <f>VLOOKUP(Table2[[#This Row],[Course Title]],'TSD-Data'!$A$1:$F$70,5,FALSE)</f>
        <v>5</v>
      </c>
      <c r="V292" s="379">
        <v>15</v>
      </c>
      <c r="W292" s="377"/>
      <c r="X292" s="377"/>
      <c r="Y292" s="378"/>
      <c r="Z292" s="378"/>
      <c r="AA292" s="370"/>
      <c r="AB292" s="370"/>
      <c r="AC292" s="370"/>
      <c r="AD292" s="370"/>
      <c r="AE292" s="378">
        <f ca="1">Table2[[#This Row],[End Date]]+2-TODAY()</f>
        <v>334</v>
      </c>
      <c r="AF292" s="370">
        <f>IF(ISBLANK(Table2[[#This Row],[Roster Received by]]),1,0)</f>
        <v>1</v>
      </c>
      <c r="AG292" s="377">
        <f ca="1">IF(Table2[[#This Row],[Start Date]]&gt;TODAY(),1,)</f>
        <v>1</v>
      </c>
      <c r="AH292" s="377">
        <f>IF(ISBLANK(Table2[[#This Row],[Primary Instructor]]),0,1)</f>
        <v>1</v>
      </c>
      <c r="AI292" s="377">
        <f>IF(ISBLANK(Table2[[#This Row],[Instructor 2]]),0,1)</f>
        <v>0</v>
      </c>
      <c r="AJ292" s="377">
        <f>Table2[[#This Row],[Course Length (Hours)]]/(SUM(Table2[[#This Row],[1]:[2]]))</f>
        <v>40</v>
      </c>
      <c r="AK292" s="370"/>
      <c r="AL292" s="377">
        <v>3</v>
      </c>
      <c r="AM292" s="403" t="str">
        <f>VLOOKUP(Table2[[#This Row],[Course Title]],'TSD-Data'!$A$1:$G$70,7,FALSE)</f>
        <v>N3</v>
      </c>
    </row>
    <row r="293" spans="1:39" s="380" customFormat="1" x14ac:dyDescent="0.25">
      <c r="A293" s="368"/>
      <c r="B293" s="369" t="s">
        <v>329</v>
      </c>
      <c r="C293" s="370" t="str">
        <f>VLOOKUP(Table2[[#This Row],[Course Title]],'TSD-Data'!$A$1:$E$70,2,FALSE)</f>
        <v>A-4J-0019</v>
      </c>
      <c r="D293" s="370" t="str">
        <f>VLOOKUP(Table2[[#This Row],[Course Title]],'TSD-Data'!$A$1:$E$70,3,FALSE)</f>
        <v>28SL/285M</v>
      </c>
      <c r="E293" s="369" t="s">
        <v>171</v>
      </c>
      <c r="F293" s="371">
        <v>46146</v>
      </c>
      <c r="G293" s="371">
        <v>46150</v>
      </c>
      <c r="H293" s="371" t="s">
        <v>752</v>
      </c>
      <c r="I293" s="372">
        <v>0.3125</v>
      </c>
      <c r="J293" s="372"/>
      <c r="K293" s="371"/>
      <c r="L293" s="371"/>
      <c r="M293" s="371"/>
      <c r="N293" s="371"/>
      <c r="O293" s="371"/>
      <c r="P293" s="375" t="s">
        <v>310</v>
      </c>
      <c r="Q293" s="375" t="s">
        <v>311</v>
      </c>
      <c r="R293" s="376"/>
      <c r="S293" s="370">
        <f>VLOOKUP(Table2[[#This Row],[Course Title]],'TSD-Data'!$A$1:$E$70,4,FALSE)</f>
        <v>20</v>
      </c>
      <c r="T293" s="377">
        <f>VLOOKUP(Table2[[#This Row],[Course Title]],'TSD-Data'!$A$1:$F$70,6,FALSE)</f>
        <v>40</v>
      </c>
      <c r="U293" s="378">
        <f>VLOOKUP(Table2[[#This Row],[Course Title]],'TSD-Data'!$A$1:$F$70,5,FALSE)</f>
        <v>5</v>
      </c>
      <c r="V293" s="379">
        <v>148</v>
      </c>
      <c r="W293" s="377"/>
      <c r="X293" s="377"/>
      <c r="Y293" s="378"/>
      <c r="Z293" s="378"/>
      <c r="AA293" s="370"/>
      <c r="AB293" s="370"/>
      <c r="AC293" s="370"/>
      <c r="AD293" s="370"/>
      <c r="AE293" s="378">
        <f ca="1">Table2[[#This Row],[End Date]]+2-TODAY()</f>
        <v>334</v>
      </c>
      <c r="AF293" s="370">
        <f>IF(ISBLANK(Table2[[#This Row],[Roster Received by]]),1,0)</f>
        <v>1</v>
      </c>
      <c r="AG293" s="377">
        <f ca="1">IF(Table2[[#This Row],[Start Date]]&gt;TODAY(),1,)</f>
        <v>1</v>
      </c>
      <c r="AH293" s="377">
        <f>IF(ISBLANK(Table2[[#This Row],[Primary Instructor]]),0,1)</f>
        <v>1</v>
      </c>
      <c r="AI293" s="377">
        <f>IF(ISBLANK(Table2[[#This Row],[Instructor 2]]),0,1)</f>
        <v>1</v>
      </c>
      <c r="AJ293" s="377">
        <f>Table2[[#This Row],[Course Length (Hours)]]/(SUM(Table2[[#This Row],[1]:[2]]))</f>
        <v>20</v>
      </c>
      <c r="AK293" s="370"/>
      <c r="AL293" s="377">
        <v>3</v>
      </c>
      <c r="AM293" s="403" t="str">
        <f>VLOOKUP(Table2[[#This Row],[Course Title]],'TSD-Data'!$A$1:$G$70,7,FALSE)</f>
        <v>N1</v>
      </c>
    </row>
    <row r="294" spans="1:39" s="380" customFormat="1" x14ac:dyDescent="0.25">
      <c r="A294" s="368"/>
      <c r="B294" s="369" t="s">
        <v>40</v>
      </c>
      <c r="C294" s="370" t="str">
        <f>VLOOKUP(Table2[[#This Row],[Course Title]],'TSD-Data'!$A$1:$E$70,2,FALSE)</f>
        <v>A-493-2098</v>
      </c>
      <c r="D294" s="370" t="str">
        <f>VLOOKUP(Table2[[#This Row],[Course Title]],'TSD-Data'!$A$1:$E$70,3,FALSE)</f>
        <v>09WW</v>
      </c>
      <c r="E294" s="369" t="s">
        <v>86</v>
      </c>
      <c r="F294" s="371">
        <v>46146</v>
      </c>
      <c r="G294" s="371">
        <v>46148</v>
      </c>
      <c r="H294" s="371" t="s">
        <v>752</v>
      </c>
      <c r="I294" s="372"/>
      <c r="J294" s="372">
        <v>0.5</v>
      </c>
      <c r="K294" s="381">
        <v>0.375</v>
      </c>
      <c r="L294" s="381">
        <v>0.79166666666666663</v>
      </c>
      <c r="M294" s="381">
        <v>0.75</v>
      </c>
      <c r="N294" s="381">
        <v>0.25</v>
      </c>
      <c r="O294" s="381">
        <v>4.1666666666666664E-2</v>
      </c>
      <c r="P294" s="375" t="s">
        <v>244</v>
      </c>
      <c r="Q294" s="375"/>
      <c r="R294" s="376"/>
      <c r="S294" s="370">
        <f>VLOOKUP(Table2[[#This Row],[Course Title]],'TSD-Data'!$A$1:$E$70,4,FALSE)</f>
        <v>100</v>
      </c>
      <c r="T294" s="377">
        <f>VLOOKUP(Table2[[#This Row],[Course Title]],'TSD-Data'!$A$1:$F$70,6,FALSE)</f>
        <v>16</v>
      </c>
      <c r="U294" s="378">
        <f>VLOOKUP(Table2[[#This Row],[Course Title]],'TSD-Data'!$A$1:$F$70,5,FALSE)</f>
        <v>3</v>
      </c>
      <c r="V294" s="379">
        <v>1882</v>
      </c>
      <c r="W294" s="377"/>
      <c r="X294" s="377"/>
      <c r="Y294" s="378"/>
      <c r="Z294" s="378"/>
      <c r="AA294" s="370"/>
      <c r="AB294" s="370"/>
      <c r="AC294" s="370"/>
      <c r="AD294" s="370"/>
      <c r="AE294" s="378">
        <f ca="1">Table2[[#This Row],[End Date]]+2-TODAY()</f>
        <v>332</v>
      </c>
      <c r="AF294" s="370">
        <f>IF(ISBLANK(Table2[[#This Row],[Roster Received by]]),1,0)</f>
        <v>1</v>
      </c>
      <c r="AG294" s="377">
        <f ca="1">IF(Table2[[#This Row],[Start Date]]&gt;TODAY(),1,)</f>
        <v>1</v>
      </c>
      <c r="AH294" s="377">
        <f>IF(ISBLANK(Table2[[#This Row],[Primary Instructor]]),0,1)</f>
        <v>1</v>
      </c>
      <c r="AI294" s="377">
        <f>IF(ISBLANK(Table2[[#This Row],[Instructor 2]]),0,1)</f>
        <v>0</v>
      </c>
      <c r="AJ294" s="377">
        <f>Table2[[#This Row],[Course Length (Hours)]]/(SUM(Table2[[#This Row],[1]:[2]]))</f>
        <v>16</v>
      </c>
      <c r="AK294" s="370"/>
      <c r="AL294" s="377">
        <v>3</v>
      </c>
      <c r="AM294" s="403" t="str">
        <f>VLOOKUP(Table2[[#This Row],[Course Title]],'TSD-Data'!$A$1:$G$70,7,FALSE)</f>
        <v>N1</v>
      </c>
    </row>
    <row r="295" spans="1:39" s="380" customFormat="1" x14ac:dyDescent="0.25">
      <c r="A295" s="413"/>
      <c r="B295" s="414" t="s">
        <v>36</v>
      </c>
      <c r="C295" s="370" t="str">
        <f>VLOOKUP(Table2[[#This Row],[Course Title]],'TSD-Data'!$A$1:$E$70,2,FALSE)</f>
        <v>A-493-2017</v>
      </c>
      <c r="D295" s="370" t="str">
        <f>VLOOKUP(Table2[[#This Row],[Course Title]],'TSD-Data'!$A$1:$E$70,3,FALSE)</f>
        <v>12x3</v>
      </c>
      <c r="E295" s="414" t="s">
        <v>174</v>
      </c>
      <c r="F295" s="416">
        <v>46146</v>
      </c>
      <c r="G295" s="416">
        <v>46150</v>
      </c>
      <c r="H295" s="426" t="s">
        <v>753</v>
      </c>
      <c r="I295" s="417">
        <v>0.33333333333333331</v>
      </c>
      <c r="J295" s="417"/>
      <c r="K295" s="416"/>
      <c r="L295" s="416"/>
      <c r="M295" s="416"/>
      <c r="N295" s="416"/>
      <c r="O295" s="416"/>
      <c r="P295" s="418" t="s">
        <v>241</v>
      </c>
      <c r="Q295" s="418"/>
      <c r="R295" s="376"/>
      <c r="S295" s="370">
        <f>VLOOKUP(Table2[[#This Row],[Course Title]],'TSD-Data'!$A$1:$E$70,4,FALSE)</f>
        <v>25</v>
      </c>
      <c r="T295" s="377">
        <f>VLOOKUP(Table2[[#This Row],[Course Title]],'TSD-Data'!$A$1:$F$70,6,FALSE)</f>
        <v>40</v>
      </c>
      <c r="U295" s="378">
        <f>VLOOKUP(Table2[[#This Row],[Course Title]],'TSD-Data'!$A$1:$F$70,5,FALSE)</f>
        <v>5</v>
      </c>
      <c r="V295" s="379">
        <v>49</v>
      </c>
      <c r="W295" s="377"/>
      <c r="X295" s="377"/>
      <c r="Y295" s="420"/>
      <c r="Z295" s="420"/>
      <c r="AA295" s="415"/>
      <c r="AB295" s="415"/>
      <c r="AC295" s="421"/>
      <c r="AD295" s="421"/>
      <c r="AE295" s="420">
        <v>345</v>
      </c>
      <c r="AF295" s="415">
        <v>1</v>
      </c>
      <c r="AG295" s="403">
        <v>1</v>
      </c>
      <c r="AH295" s="403">
        <v>1</v>
      </c>
      <c r="AI295" s="403">
        <v>0</v>
      </c>
      <c r="AJ295" s="403">
        <v>40</v>
      </c>
      <c r="AK295" s="415"/>
      <c r="AL295" s="377">
        <v>3</v>
      </c>
      <c r="AM295" s="403" t="str">
        <f>VLOOKUP(Table2[[#This Row],[Course Title]],'TSD-Data'!$A$1:$G$70,7,FALSE)</f>
        <v>N4</v>
      </c>
    </row>
    <row r="296" spans="1:39" s="380" customFormat="1" x14ac:dyDescent="0.25">
      <c r="A296" s="368"/>
      <c r="B296" s="435" t="s">
        <v>50</v>
      </c>
      <c r="C296" s="370" t="str">
        <f>VLOOKUP(Table2[[#This Row],[Course Title]],'TSD-Data'!$A$1:$E$70,2,FALSE)</f>
        <v>A-493-0331</v>
      </c>
      <c r="D296" s="370" t="str">
        <f>VLOOKUP(Table2[[#This Row],[Course Title]],'TSD-Data'!$A$1:$E$70,3,FALSE)</f>
        <v>10UG</v>
      </c>
      <c r="E296" s="369" t="s">
        <v>86</v>
      </c>
      <c r="F296" s="371">
        <v>46147</v>
      </c>
      <c r="G296" s="371">
        <v>46149</v>
      </c>
      <c r="H296" s="371" t="s">
        <v>752</v>
      </c>
      <c r="I296" s="372"/>
      <c r="J296" s="372">
        <v>0.5</v>
      </c>
      <c r="K296" s="381">
        <v>0.375</v>
      </c>
      <c r="L296" s="381">
        <v>0.79166666666666663</v>
      </c>
      <c r="M296" s="381">
        <v>0.75</v>
      </c>
      <c r="N296" s="381">
        <v>0.25</v>
      </c>
      <c r="O296" s="381">
        <v>4.1666666666666664E-2</v>
      </c>
      <c r="P296" s="375" t="s">
        <v>233</v>
      </c>
      <c r="Q296" s="375"/>
      <c r="R296" s="376"/>
      <c r="S296" s="370">
        <f>VLOOKUP(Table2[[#This Row],[Course Title]],'TSD-Data'!$A$1:$E$70,4,FALSE)</f>
        <v>45</v>
      </c>
      <c r="T296" s="377">
        <f>VLOOKUP(Table2[[#This Row],[Course Title]],'TSD-Data'!$A$1:$F$70,6,FALSE)</f>
        <v>24</v>
      </c>
      <c r="U296" s="378">
        <f>VLOOKUP(Table2[[#This Row],[Course Title]],'TSD-Data'!$A$1:$F$70,5,FALSE)</f>
        <v>3</v>
      </c>
      <c r="V296" s="379">
        <v>844</v>
      </c>
      <c r="W296" s="377"/>
      <c r="X296" s="377"/>
      <c r="Y296" s="378"/>
      <c r="Z296" s="378"/>
      <c r="AA296" s="370"/>
      <c r="AB296" s="370"/>
      <c r="AC296" s="370"/>
      <c r="AD296" s="370"/>
      <c r="AE296" s="378">
        <f ca="1">Table2[[#This Row],[End Date]]+2-TODAY()</f>
        <v>333</v>
      </c>
      <c r="AF296" s="370">
        <f>IF(ISBLANK(Table2[[#This Row],[Roster Received by]]),1,0)</f>
        <v>1</v>
      </c>
      <c r="AG296" s="377">
        <f ca="1">IF(Table2[[#This Row],[Start Date]]&gt;TODAY(),1,)</f>
        <v>1</v>
      </c>
      <c r="AH296" s="377">
        <f>IF(ISBLANK(Table2[[#This Row],[Primary Instructor]]),0,1)</f>
        <v>1</v>
      </c>
      <c r="AI296" s="377">
        <f>IF(ISBLANK(Table2[[#This Row],[Instructor 2]]),0,1)</f>
        <v>0</v>
      </c>
      <c r="AJ296" s="377">
        <f>Table2[[#This Row],[Course Length (Hours)]]/(SUM(Table2[[#This Row],[1]:[2]]))</f>
        <v>24</v>
      </c>
      <c r="AK296" s="370"/>
      <c r="AL296" s="377">
        <v>3</v>
      </c>
      <c r="AM296" s="403" t="str">
        <f>VLOOKUP(Table2[[#This Row],[Course Title]],'TSD-Data'!$A$1:$G$70,7,FALSE)</f>
        <v>N3</v>
      </c>
    </row>
    <row r="297" spans="1:39" s="380" customFormat="1" x14ac:dyDescent="0.25">
      <c r="A297" s="413" t="s">
        <v>734</v>
      </c>
      <c r="B297" s="414" t="s">
        <v>28</v>
      </c>
      <c r="C297" s="370" t="str">
        <f>VLOOKUP(Table2[[#This Row],[Course Title]],'TSD-Data'!$A$1:$E$70,2,FALSE)</f>
        <v>A-493-0013</v>
      </c>
      <c r="D297" s="370">
        <f>VLOOKUP(Table2[[#This Row],[Course Title]],'TSD-Data'!$A$1:$E$70,3,FALSE)</f>
        <v>3683</v>
      </c>
      <c r="E297" s="414" t="s">
        <v>418</v>
      </c>
      <c r="F297" s="416">
        <v>46149</v>
      </c>
      <c r="G297" s="416">
        <v>46153</v>
      </c>
      <c r="H297" s="426" t="s">
        <v>753</v>
      </c>
      <c r="I297" s="417">
        <v>0.33333333333333331</v>
      </c>
      <c r="J297" s="417"/>
      <c r="K297" s="416"/>
      <c r="L297" s="416"/>
      <c r="M297" s="416"/>
      <c r="N297" s="416"/>
      <c r="O297" s="416"/>
      <c r="P297" s="418" t="s">
        <v>241</v>
      </c>
      <c r="Q297" s="418"/>
      <c r="R297" s="376"/>
      <c r="S297" s="370">
        <f>VLOOKUP(Table2[[#This Row],[Course Title]],'TSD-Data'!$A$1:$E$70,4,FALSE)</f>
        <v>40</v>
      </c>
      <c r="T297" s="377">
        <f>VLOOKUP(Table2[[#This Row],[Course Title]],'TSD-Data'!$A$1:$F$70,6,FALSE)</f>
        <v>24</v>
      </c>
      <c r="U297" s="378">
        <f>VLOOKUP(Table2[[#This Row],[Course Title]],'TSD-Data'!$A$1:$F$70,5,FALSE)</f>
        <v>3</v>
      </c>
      <c r="V297" s="379">
        <v>30</v>
      </c>
      <c r="W297" s="377"/>
      <c r="X297" s="377"/>
      <c r="Y297" s="420"/>
      <c r="Z297" s="420"/>
      <c r="AA297" s="415"/>
      <c r="AB297" s="415"/>
      <c r="AC297" s="421"/>
      <c r="AD297" s="421"/>
      <c r="AE297" s="420">
        <v>348</v>
      </c>
      <c r="AF297" s="415">
        <v>1</v>
      </c>
      <c r="AG297" s="403">
        <v>1</v>
      </c>
      <c r="AH297" s="403">
        <v>1</v>
      </c>
      <c r="AI297" s="403">
        <v>0</v>
      </c>
      <c r="AJ297" s="403">
        <v>24</v>
      </c>
      <c r="AK297" s="415"/>
      <c r="AL297" s="377">
        <v>3</v>
      </c>
      <c r="AM297" s="403" t="str">
        <f>VLOOKUP(Table2[[#This Row],[Course Title]],'TSD-Data'!$A$1:$G$70,7,FALSE)</f>
        <v>N4</v>
      </c>
    </row>
    <row r="298" spans="1:39" s="380" customFormat="1" x14ac:dyDescent="0.25">
      <c r="A298" s="368"/>
      <c r="B298" s="369" t="s">
        <v>31</v>
      </c>
      <c r="C298" s="370" t="str">
        <f>VLOOKUP(Table2[[#This Row],[Course Title]],'TSD-Data'!$A$1:$E$70,2,FALSE)</f>
        <v>A-493-0083</v>
      </c>
      <c r="D298" s="370" t="str">
        <f>VLOOKUP(Table2[[#This Row],[Course Title]],'TSD-Data'!$A$1:$E$70,3,FALSE)</f>
        <v>339E</v>
      </c>
      <c r="E298" s="369" t="s">
        <v>170</v>
      </c>
      <c r="F298" s="371">
        <v>46149</v>
      </c>
      <c r="G298" s="371">
        <v>46149</v>
      </c>
      <c r="H298" s="426" t="s">
        <v>753</v>
      </c>
      <c r="I298" s="372">
        <v>800.33333333333337</v>
      </c>
      <c r="J298" s="372"/>
      <c r="K298" s="371"/>
      <c r="L298" s="371"/>
      <c r="M298" s="371"/>
      <c r="N298" s="371"/>
      <c r="O298" s="371"/>
      <c r="P298" s="375" t="s">
        <v>241</v>
      </c>
      <c r="Q298" s="375"/>
      <c r="R298" s="376"/>
      <c r="S298" s="370">
        <f>VLOOKUP(Table2[[#This Row],[Course Title]],'TSD-Data'!$A$1:$E$70,4,FALSE)</f>
        <v>30</v>
      </c>
      <c r="T298" s="377">
        <f>VLOOKUP(Table2[[#This Row],[Course Title]],'TSD-Data'!$A$1:$F$70,6,FALSE)</f>
        <v>8</v>
      </c>
      <c r="U298" s="378">
        <f>VLOOKUP(Table2[[#This Row],[Course Title]],'TSD-Data'!$A$1:$F$70,5,FALSE)</f>
        <v>1</v>
      </c>
      <c r="V298" s="379">
        <v>58</v>
      </c>
      <c r="W298" s="377"/>
      <c r="X298" s="377"/>
      <c r="Y298" s="378"/>
      <c r="Z298" s="378"/>
      <c r="AA298" s="370"/>
      <c r="AB298" s="370"/>
      <c r="AC298" s="370"/>
      <c r="AD298" s="370"/>
      <c r="AE298" s="378">
        <f ca="1">Table2[[#This Row],[End Date]]+2-TODAY()</f>
        <v>333</v>
      </c>
      <c r="AF298" s="370">
        <f>IF(ISBLANK(Table2[[#This Row],[Roster Received by]]),1,0)</f>
        <v>1</v>
      </c>
      <c r="AG298" s="377">
        <f ca="1">IF(Table2[[#This Row],[Start Date]]&gt;TODAY(),1,)</f>
        <v>1</v>
      </c>
      <c r="AH298" s="377">
        <f>IF(ISBLANK(Table2[[#This Row],[Primary Instructor]]),0,1)</f>
        <v>1</v>
      </c>
      <c r="AI298" s="377">
        <f>IF(ISBLANK(Table2[[#This Row],[Instructor 2]]),0,1)</f>
        <v>0</v>
      </c>
      <c r="AJ298" s="377">
        <f>Table2[[#This Row],[Course Length (Hours)]]/(SUM(Table2[[#This Row],[1]:[2]]))</f>
        <v>8</v>
      </c>
      <c r="AK298" s="370"/>
      <c r="AL298" s="377">
        <v>3</v>
      </c>
      <c r="AM298" s="403" t="str">
        <f>VLOOKUP(Table2[[#This Row],[Course Title]],'TSD-Data'!$A$1:$G$70,7,FALSE)</f>
        <v>N4</v>
      </c>
    </row>
    <row r="299" spans="1:39" s="380" customFormat="1" x14ac:dyDescent="0.25">
      <c r="A299" s="413"/>
      <c r="B299" s="369" t="s">
        <v>31</v>
      </c>
      <c r="C299" s="370" t="str">
        <f>VLOOKUP(Table2[[#This Row],[Course Title]],'TSD-Data'!$A$1:$E$70,2,FALSE)</f>
        <v>A-493-0083</v>
      </c>
      <c r="D299" s="370" t="str">
        <f>VLOOKUP(Table2[[#This Row],[Course Title]],'TSD-Data'!$A$1:$E$70,3,FALSE)</f>
        <v>339E</v>
      </c>
      <c r="E299" s="414" t="s">
        <v>168</v>
      </c>
      <c r="F299" s="416">
        <v>46150</v>
      </c>
      <c r="G299" s="416">
        <v>46150</v>
      </c>
      <c r="H299" s="426" t="s">
        <v>753</v>
      </c>
      <c r="I299" s="372">
        <v>0.33333333333333331</v>
      </c>
      <c r="J299" s="417"/>
      <c r="K299" s="416"/>
      <c r="L299" s="416"/>
      <c r="M299" s="416"/>
      <c r="N299" s="416"/>
      <c r="O299" s="416"/>
      <c r="P299" s="418" t="s">
        <v>241</v>
      </c>
      <c r="Q299" s="418"/>
      <c r="R299" s="376"/>
      <c r="S299" s="370">
        <f>VLOOKUP(Table2[[#This Row],[Course Title]],'TSD-Data'!$A$1:$E$70,4,FALSE)</f>
        <v>30</v>
      </c>
      <c r="T299" s="377">
        <f>VLOOKUP(Table2[[#This Row],[Course Title]],'TSD-Data'!$A$1:$F$70,6,FALSE)</f>
        <v>8</v>
      </c>
      <c r="U299" s="378">
        <f>VLOOKUP(Table2[[#This Row],[Course Title]],'TSD-Data'!$A$1:$F$70,5,FALSE)</f>
        <v>1</v>
      </c>
      <c r="V299" s="379">
        <v>58</v>
      </c>
      <c r="W299" s="377"/>
      <c r="X299" s="377"/>
      <c r="Y299" s="420"/>
      <c r="Z299" s="420"/>
      <c r="AA299" s="415"/>
      <c r="AB299" s="415"/>
      <c r="AC299" s="421"/>
      <c r="AD299" s="421"/>
      <c r="AE299" s="420">
        <v>345</v>
      </c>
      <c r="AF299" s="415">
        <v>1</v>
      </c>
      <c r="AG299" s="403">
        <v>1</v>
      </c>
      <c r="AH299" s="403">
        <v>0</v>
      </c>
      <c r="AI299" s="403">
        <v>0</v>
      </c>
      <c r="AJ299" s="403" t="e">
        <v>#DIV/0!</v>
      </c>
      <c r="AK299" s="415"/>
      <c r="AL299" s="377">
        <v>3</v>
      </c>
      <c r="AM299" s="403" t="str">
        <f>VLOOKUP(Table2[[#This Row],[Course Title]],'TSD-Data'!$A$1:$G$70,7,FALSE)</f>
        <v>N4</v>
      </c>
    </row>
    <row r="300" spans="1:39" s="380" customFormat="1" x14ac:dyDescent="0.25">
      <c r="A300" s="369"/>
      <c r="B300" s="432" t="s">
        <v>15</v>
      </c>
      <c r="C300" s="370" t="str">
        <f>VLOOKUP(Table2[[#This Row],[Course Title]],'TSD-Data'!$A$1:$E$70,2,FALSE)</f>
        <v>A-4J-0022</v>
      </c>
      <c r="D300" s="370" t="str">
        <f>VLOOKUP(Table2[[#This Row],[Course Title]],'TSD-Data'!$A$1:$E$70,3,FALSE)</f>
        <v>09ER</v>
      </c>
      <c r="E300" s="369" t="s">
        <v>86</v>
      </c>
      <c r="F300" s="371">
        <v>46153</v>
      </c>
      <c r="G300" s="371">
        <v>46157</v>
      </c>
      <c r="H300" s="371" t="s">
        <v>752</v>
      </c>
      <c r="I300" s="372"/>
      <c r="J300" s="381">
        <v>0.5</v>
      </c>
      <c r="K300" s="381">
        <v>0.375</v>
      </c>
      <c r="L300" s="381">
        <v>0.79166666666666663</v>
      </c>
      <c r="M300" s="381">
        <v>0.75</v>
      </c>
      <c r="N300" s="381">
        <v>0.25</v>
      </c>
      <c r="O300" s="381">
        <v>4.1666666666666664E-2</v>
      </c>
      <c r="P300" s="375" t="s">
        <v>233</v>
      </c>
      <c r="Q300" s="375"/>
      <c r="R300" s="375"/>
      <c r="S300" s="370">
        <f>VLOOKUP(Table2[[#This Row],[Course Title]],'TSD-Data'!$A$1:$E$70,4,FALSE)</f>
        <v>45</v>
      </c>
      <c r="T300" s="377">
        <f>VLOOKUP(Table2[[#This Row],[Course Title]],'TSD-Data'!$A$1:$F$70,6,FALSE)</f>
        <v>16</v>
      </c>
      <c r="U300" s="378">
        <f>VLOOKUP(Table2[[#This Row],[Course Title]],'TSD-Data'!$A$1:$F$70,5,FALSE)</f>
        <v>2</v>
      </c>
      <c r="V300" s="379">
        <v>130</v>
      </c>
      <c r="W300" s="377"/>
      <c r="X300" s="377"/>
      <c r="Y300" s="379"/>
      <c r="Z300" s="379"/>
      <c r="AA300" s="377"/>
      <c r="AB300" s="377"/>
      <c r="AC300" s="377"/>
      <c r="AD300" s="377"/>
      <c r="AE300" s="379">
        <f ca="1">Table2[[#This Row],[End Date]]+2-TODAY()</f>
        <v>341</v>
      </c>
      <c r="AF300" s="377">
        <f>IF(ISBLANK(Table2[[#This Row],[Roster Received by]]),1,0)</f>
        <v>1</v>
      </c>
      <c r="AG300" s="377">
        <f ca="1">IF(Table2[[#This Row],[Start Date]]&gt;TODAY(),1,)</f>
        <v>1</v>
      </c>
      <c r="AH300" s="377">
        <f>IF(ISBLANK(Table2[[#This Row],[Primary Instructor]]),0,1)</f>
        <v>1</v>
      </c>
      <c r="AI300" s="377">
        <f>IF(ISBLANK(Table2[[#This Row],[Instructor 2]]),0,1)</f>
        <v>0</v>
      </c>
      <c r="AJ300" s="377">
        <f>Table2[[#This Row],[Course Length (Hours)]]/(SUM(Table2[[#This Row],[1]:[2]]))</f>
        <v>16</v>
      </c>
      <c r="AK300" s="377"/>
      <c r="AL300" s="377">
        <v>3</v>
      </c>
      <c r="AM300" s="403" t="str">
        <f>VLOOKUP(Table2[[#This Row],[Course Title]],'TSD-Data'!$A$1:$G$70,7,FALSE)</f>
        <v>N4</v>
      </c>
    </row>
    <row r="301" spans="1:39" s="380" customFormat="1" x14ac:dyDescent="0.25">
      <c r="A301" s="368"/>
      <c r="B301" s="432" t="s">
        <v>55</v>
      </c>
      <c r="C301" s="370" t="str">
        <f>VLOOKUP(Table2[[#This Row],[Course Title]],'TSD-Data'!$A$1:$E$70,2,FALSE)</f>
        <v>A-493-0103</v>
      </c>
      <c r="D301" s="370" t="str">
        <f>VLOOKUP(Table2[[#This Row],[Course Title]],'TSD-Data'!$A$1:$E$70,3,FALSE)</f>
        <v>12JY</v>
      </c>
      <c r="E301" s="369" t="s">
        <v>162</v>
      </c>
      <c r="F301" s="371">
        <v>46153</v>
      </c>
      <c r="G301" s="371">
        <v>46157</v>
      </c>
      <c r="H301" s="371" t="s">
        <v>752</v>
      </c>
      <c r="I301" s="372">
        <v>0.33333333333333331</v>
      </c>
      <c r="J301" s="372"/>
      <c r="K301" s="371"/>
      <c r="L301" s="371"/>
      <c r="M301" s="371"/>
      <c r="N301" s="371"/>
      <c r="O301" s="371"/>
      <c r="P301" s="375" t="s">
        <v>289</v>
      </c>
      <c r="Q301" s="375"/>
      <c r="R301" s="376"/>
      <c r="S301" s="370">
        <f>VLOOKUP(Table2[[#This Row],[Course Title]],'TSD-Data'!$A$1:$E$70,4,FALSE)</f>
        <v>25</v>
      </c>
      <c r="T301" s="377">
        <f>VLOOKUP(Table2[[#This Row],[Course Title]],'TSD-Data'!$A$1:$F$70,6,FALSE)</f>
        <v>40</v>
      </c>
      <c r="U301" s="378">
        <f>VLOOKUP(Table2[[#This Row],[Course Title]],'TSD-Data'!$A$1:$F$70,5,FALSE)</f>
        <v>5</v>
      </c>
      <c r="V301" s="379">
        <v>25</v>
      </c>
      <c r="W301" s="377"/>
      <c r="X301" s="377"/>
      <c r="Y301" s="378"/>
      <c r="Z301" s="378"/>
      <c r="AA301" s="370"/>
      <c r="AB301" s="370"/>
      <c r="AC301" s="370"/>
      <c r="AD301" s="370"/>
      <c r="AE301" s="378">
        <f ca="1">Table2[[#This Row],[End Date]]+2-TODAY()</f>
        <v>341</v>
      </c>
      <c r="AF301" s="370">
        <f>IF(ISBLANK(Table2[[#This Row],[Roster Received by]]),1,0)</f>
        <v>1</v>
      </c>
      <c r="AG301" s="377">
        <f ca="1">IF(Table2[[#This Row],[Start Date]]&gt;TODAY(),1,)</f>
        <v>1</v>
      </c>
      <c r="AH301" s="377">
        <f>IF(ISBLANK(Table2[[#This Row],[Primary Instructor]]),0,1)</f>
        <v>1</v>
      </c>
      <c r="AI301" s="377">
        <f>IF(ISBLANK(Table2[[#This Row],[Instructor 2]]),0,1)</f>
        <v>0</v>
      </c>
      <c r="AJ301" s="377">
        <f>Table2[[#This Row],[Course Length (Hours)]]/(SUM(Table2[[#This Row],[1]:[2]]))</f>
        <v>40</v>
      </c>
      <c r="AK301" s="370"/>
      <c r="AL301" s="377">
        <v>3</v>
      </c>
      <c r="AM301" s="403" t="str">
        <f>VLOOKUP(Table2[[#This Row],[Course Title]],'TSD-Data'!$A$1:$G$70,7,FALSE)</f>
        <v>N5</v>
      </c>
    </row>
    <row r="302" spans="1:39" s="380" customFormat="1" x14ac:dyDescent="0.25">
      <c r="A302" s="369"/>
      <c r="B302" s="369" t="s">
        <v>56</v>
      </c>
      <c r="C302" s="370" t="str">
        <f>VLOOKUP(Table2[[#This Row],[Course Title]],'TSD-Data'!$A$1:$E$70,2,FALSE)</f>
        <v>A-493-0021</v>
      </c>
      <c r="D302" s="370" t="str">
        <f>VLOOKUP(Table2[[#This Row],[Course Title]],'TSD-Data'!$A$1:$E$70,3,FALSE)</f>
        <v>18BN</v>
      </c>
      <c r="E302" s="369" t="s">
        <v>163</v>
      </c>
      <c r="F302" s="371">
        <v>46153</v>
      </c>
      <c r="G302" s="371">
        <v>46157</v>
      </c>
      <c r="H302" s="371" t="s">
        <v>752</v>
      </c>
      <c r="I302" s="372">
        <v>0.33333333333333331</v>
      </c>
      <c r="J302" s="372"/>
      <c r="K302" s="437"/>
      <c r="L302" s="371"/>
      <c r="M302" s="371"/>
      <c r="N302" s="371"/>
      <c r="O302" s="371"/>
      <c r="P302" s="375" t="s">
        <v>289</v>
      </c>
      <c r="Q302" s="375"/>
      <c r="R302" s="375"/>
      <c r="S302" s="370">
        <f>VLOOKUP(Table2[[#This Row],[Course Title]],'TSD-Data'!$A$1:$E$70,4,FALSE)</f>
        <v>35</v>
      </c>
      <c r="T302" s="377">
        <f>VLOOKUP(Table2[[#This Row],[Course Title]],'TSD-Data'!$A$1:$F$70,6,FALSE)</f>
        <v>30</v>
      </c>
      <c r="U302" s="378">
        <f>VLOOKUP(Table2[[#This Row],[Course Title]],'TSD-Data'!$A$1:$F$70,5,FALSE)</f>
        <v>5</v>
      </c>
      <c r="V302" s="379">
        <v>8</v>
      </c>
      <c r="W302" s="377"/>
      <c r="X302" s="377"/>
      <c r="Y302" s="379"/>
      <c r="Z302" s="379"/>
      <c r="AA302" s="377"/>
      <c r="AB302" s="377"/>
      <c r="AC302" s="377"/>
      <c r="AD302" s="377"/>
      <c r="AE302" s="379">
        <f ca="1">Table2[[#This Row],[End Date]]+2-TODAY()</f>
        <v>341</v>
      </c>
      <c r="AF302" s="377">
        <f>IF(ISBLANK(Table2[[#This Row],[Roster Received by]]),1,0)</f>
        <v>1</v>
      </c>
      <c r="AG302" s="377">
        <f ca="1">IF(Table2[[#This Row],[Start Date]]&gt;TODAY(),1,)</f>
        <v>1</v>
      </c>
      <c r="AH302" s="377">
        <f>IF(ISBLANK(Table2[[#This Row],[Primary Instructor]]),0,1)</f>
        <v>1</v>
      </c>
      <c r="AI302" s="377">
        <f>IF(ISBLANK(Table2[[#This Row],[Instructor 2]]),0,1)</f>
        <v>0</v>
      </c>
      <c r="AJ302" s="377">
        <f>Table2[[#This Row],[Course Length (Hours)]]/(SUM(Table2[[#This Row],[1]:[2]]))</f>
        <v>30</v>
      </c>
      <c r="AK302" s="377"/>
      <c r="AL302" s="377">
        <v>3</v>
      </c>
      <c r="AM302" s="403" t="str">
        <f>VLOOKUP(Table2[[#This Row],[Course Title]],'TSD-Data'!$A$1:$G$70,7,FALSE)</f>
        <v>N5</v>
      </c>
    </row>
    <row r="303" spans="1:39" s="380" customFormat="1" x14ac:dyDescent="0.25">
      <c r="A303" s="413"/>
      <c r="B303" s="369" t="s">
        <v>29</v>
      </c>
      <c r="C303" s="370" t="str">
        <f>VLOOKUP(Table2[[#This Row],[Course Title]],'TSD-Data'!$A$1:$E$70,2,FALSE)</f>
        <v>A-493-0077</v>
      </c>
      <c r="D303" s="370" t="str">
        <f>VLOOKUP(Table2[[#This Row],[Course Title]],'TSD-Data'!$A$1:$E$70,3,FALSE)</f>
        <v>0381</v>
      </c>
      <c r="E303" s="414" t="s">
        <v>364</v>
      </c>
      <c r="F303" s="416">
        <v>46153</v>
      </c>
      <c r="G303" s="416">
        <v>46155</v>
      </c>
      <c r="H303" s="426" t="s">
        <v>753</v>
      </c>
      <c r="I303" s="417">
        <v>0.33333333333333331</v>
      </c>
      <c r="J303" s="417"/>
      <c r="K303" s="416"/>
      <c r="L303" s="416"/>
      <c r="M303" s="416"/>
      <c r="N303" s="416"/>
      <c r="O303" s="416"/>
      <c r="P303" s="418" t="s">
        <v>241</v>
      </c>
      <c r="Q303" s="418"/>
      <c r="R303" s="376"/>
      <c r="S303" s="370">
        <f>VLOOKUP(Table2[[#This Row],[Course Title]],'TSD-Data'!$A$1:$E$70,4,FALSE)</f>
        <v>25</v>
      </c>
      <c r="T303" s="377">
        <f>VLOOKUP(Table2[[#This Row],[Course Title]],'TSD-Data'!$A$1:$F$70,6,FALSE)</f>
        <v>24</v>
      </c>
      <c r="U303" s="378">
        <f>VLOOKUP(Table2[[#This Row],[Course Title]],'TSD-Data'!$A$1:$F$70,5,FALSE)</f>
        <v>3</v>
      </c>
      <c r="V303" s="379">
        <v>31</v>
      </c>
      <c r="W303" s="377"/>
      <c r="X303" s="377"/>
      <c r="Y303" s="420"/>
      <c r="Z303" s="420"/>
      <c r="AA303" s="415"/>
      <c r="AB303" s="415"/>
      <c r="AC303" s="421"/>
      <c r="AD303" s="421"/>
      <c r="AE303" s="420">
        <v>350</v>
      </c>
      <c r="AF303" s="415">
        <v>1</v>
      </c>
      <c r="AG303" s="403">
        <v>1</v>
      </c>
      <c r="AH303" s="403">
        <v>1</v>
      </c>
      <c r="AI303" s="403">
        <v>0</v>
      </c>
      <c r="AJ303" s="403">
        <v>24</v>
      </c>
      <c r="AK303" s="415"/>
      <c r="AL303" s="377">
        <v>3</v>
      </c>
      <c r="AM303" s="403" t="str">
        <f>VLOOKUP(Table2[[#This Row],[Course Title]],'TSD-Data'!$A$1:$G$70,7,FALSE)</f>
        <v>N4</v>
      </c>
    </row>
    <row r="304" spans="1:39" s="380" customFormat="1" x14ac:dyDescent="0.25">
      <c r="A304" s="413"/>
      <c r="B304" s="369" t="s">
        <v>29</v>
      </c>
      <c r="C304" s="370" t="str">
        <f>VLOOKUP(Table2[[#This Row],[Course Title]],'TSD-Data'!$A$1:$E$70,2,FALSE)</f>
        <v>A-493-0077</v>
      </c>
      <c r="D304" s="370" t="str">
        <f>VLOOKUP(Table2[[#This Row],[Course Title]],'TSD-Data'!$A$1:$E$70,3,FALSE)</f>
        <v>0381</v>
      </c>
      <c r="E304" s="414" t="s">
        <v>409</v>
      </c>
      <c r="F304" s="416">
        <v>46153</v>
      </c>
      <c r="G304" s="416">
        <v>46155</v>
      </c>
      <c r="H304" s="426" t="s">
        <v>753</v>
      </c>
      <c r="I304" s="417">
        <v>0.33333333333333331</v>
      </c>
      <c r="J304" s="417"/>
      <c r="K304" s="416"/>
      <c r="L304" s="416"/>
      <c r="M304" s="416"/>
      <c r="N304" s="416"/>
      <c r="O304" s="416"/>
      <c r="P304" s="418" t="s">
        <v>241</v>
      </c>
      <c r="Q304" s="418"/>
      <c r="R304" s="376"/>
      <c r="S304" s="370">
        <f>VLOOKUP(Table2[[#This Row],[Course Title]],'TSD-Data'!$A$1:$E$70,4,FALSE)</f>
        <v>25</v>
      </c>
      <c r="T304" s="377">
        <f>VLOOKUP(Table2[[#This Row],[Course Title]],'TSD-Data'!$A$1:$F$70,6,FALSE)</f>
        <v>24</v>
      </c>
      <c r="U304" s="378">
        <f>VLOOKUP(Table2[[#This Row],[Course Title]],'TSD-Data'!$A$1:$F$70,5,FALSE)</f>
        <v>3</v>
      </c>
      <c r="V304" s="379">
        <v>37</v>
      </c>
      <c r="W304" s="377"/>
      <c r="X304" s="377"/>
      <c r="Y304" s="420"/>
      <c r="Z304" s="420"/>
      <c r="AA304" s="415"/>
      <c r="AB304" s="415"/>
      <c r="AC304" s="421"/>
      <c r="AD304" s="421"/>
      <c r="AE304" s="420">
        <v>350</v>
      </c>
      <c r="AF304" s="415">
        <v>1</v>
      </c>
      <c r="AG304" s="403">
        <v>1</v>
      </c>
      <c r="AH304" s="403">
        <v>1</v>
      </c>
      <c r="AI304" s="403">
        <v>0</v>
      </c>
      <c r="AJ304" s="403">
        <v>24</v>
      </c>
      <c r="AK304" s="415"/>
      <c r="AL304" s="377">
        <v>3</v>
      </c>
      <c r="AM304" s="403" t="str">
        <f>VLOOKUP(Table2[[#This Row],[Course Title]],'TSD-Data'!$A$1:$G$70,7,FALSE)</f>
        <v>N4</v>
      </c>
    </row>
    <row r="305" spans="1:39" s="380" customFormat="1" x14ac:dyDescent="0.25">
      <c r="A305" s="368"/>
      <c r="B305" s="369" t="s">
        <v>59</v>
      </c>
      <c r="C305" s="370" t="str">
        <f>VLOOKUP(Table2[[#This Row],[Course Title]],'TSD-Data'!$A$1:$E$70,2,FALSE)</f>
        <v>A-493-0550</v>
      </c>
      <c r="D305" s="370" t="str">
        <f>VLOOKUP(Table2[[#This Row],[Course Title]],'TSD-Data'!$A$1:$E$70,3,FALSE)</f>
        <v>09K5</v>
      </c>
      <c r="E305" s="369" t="s">
        <v>86</v>
      </c>
      <c r="F305" s="371">
        <v>46153</v>
      </c>
      <c r="G305" s="371">
        <v>46156</v>
      </c>
      <c r="H305" s="371" t="s">
        <v>752</v>
      </c>
      <c r="I305" s="372"/>
      <c r="J305" s="372">
        <v>0.33333333333333331</v>
      </c>
      <c r="K305" s="372">
        <v>0.20833333333333334</v>
      </c>
      <c r="L305" s="372">
        <v>0.625</v>
      </c>
      <c r="M305" s="372">
        <v>0.54166666666666663</v>
      </c>
      <c r="N305" s="372">
        <v>8.3333333333333329E-2</v>
      </c>
      <c r="O305" s="372">
        <v>0.875</v>
      </c>
      <c r="P305" s="375" t="s">
        <v>272</v>
      </c>
      <c r="Q305" s="375"/>
      <c r="R305" s="376"/>
      <c r="S305" s="370">
        <f>VLOOKUP(Table2[[#This Row],[Course Title]],'TSD-Data'!$A$1:$E$70,4,FALSE)</f>
        <v>45</v>
      </c>
      <c r="T305" s="377">
        <f>VLOOKUP(Table2[[#This Row],[Course Title]],'TSD-Data'!$A$1:$F$70,6,FALSE)</f>
        <v>32</v>
      </c>
      <c r="U305" s="378">
        <f>VLOOKUP(Table2[[#This Row],[Course Title]],'TSD-Data'!$A$1:$F$70,5,FALSE)</f>
        <v>4</v>
      </c>
      <c r="V305" s="379">
        <v>455</v>
      </c>
      <c r="W305" s="377"/>
      <c r="X305" s="377"/>
      <c r="Y305" s="378"/>
      <c r="Z305" s="378"/>
      <c r="AA305" s="370"/>
      <c r="AB305" s="370"/>
      <c r="AC305" s="370"/>
      <c r="AD305" s="370"/>
      <c r="AE305" s="378">
        <f ca="1">Table2[[#This Row],[End Date]]+2-TODAY()</f>
        <v>340</v>
      </c>
      <c r="AF305" s="370">
        <f>IF(ISBLANK(Table2[[#This Row],[Roster Received by]]),1,0)</f>
        <v>1</v>
      </c>
      <c r="AG305" s="377">
        <f ca="1">IF(Table2[[#This Row],[Start Date]]&gt;TODAY(),1,)</f>
        <v>1</v>
      </c>
      <c r="AH305" s="377">
        <f>IF(ISBLANK(Table2[[#This Row],[Primary Instructor]]),0,1)</f>
        <v>1</v>
      </c>
      <c r="AI305" s="377">
        <f>IF(ISBLANK(Table2[[#This Row],[Instructor 2]]),0,1)</f>
        <v>0</v>
      </c>
      <c r="AJ305" s="377">
        <f>Table2[[#This Row],[Course Length (Hours)]]/(SUM(Table2[[#This Row],[1]:[2]]))</f>
        <v>32</v>
      </c>
      <c r="AK305" s="370"/>
      <c r="AL305" s="377">
        <v>3</v>
      </c>
      <c r="AM305" s="403" t="str">
        <f>VLOOKUP(Table2[[#This Row],[Course Title]],'TSD-Data'!$A$1:$G$70,7,FALSE)</f>
        <v>N5</v>
      </c>
    </row>
    <row r="306" spans="1:39" s="380" customFormat="1" x14ac:dyDescent="0.25">
      <c r="A306" s="413"/>
      <c r="B306" s="414" t="s">
        <v>35</v>
      </c>
      <c r="C306" s="370" t="str">
        <f>VLOOKUP(Table2[[#This Row],[Course Title]],'TSD-Data'!$A$1:$E$70,2,FALSE)</f>
        <v>A-493-2501</v>
      </c>
      <c r="D306" s="370" t="str">
        <f>VLOOKUP(Table2[[#This Row],[Course Title]],'TSD-Data'!$A$1:$E$70,3,FALSE)</f>
        <v>05ZE</v>
      </c>
      <c r="E306" s="414" t="s">
        <v>290</v>
      </c>
      <c r="F306" s="416">
        <v>46153</v>
      </c>
      <c r="G306" s="416">
        <v>46153</v>
      </c>
      <c r="H306" s="426" t="s">
        <v>753</v>
      </c>
      <c r="I306" s="372">
        <v>0.33333333333333331</v>
      </c>
      <c r="J306" s="417"/>
      <c r="K306" s="416"/>
      <c r="L306" s="416"/>
      <c r="M306" s="416"/>
      <c r="N306" s="416"/>
      <c r="O306" s="416"/>
      <c r="P306" s="418" t="s">
        <v>241</v>
      </c>
      <c r="Q306" s="418"/>
      <c r="R306" s="376"/>
      <c r="S306" s="370">
        <f>VLOOKUP(Table2[[#This Row],[Course Title]],'TSD-Data'!$A$1:$E$70,4,FALSE)</f>
        <v>30</v>
      </c>
      <c r="T306" s="377">
        <f>VLOOKUP(Table2[[#This Row],[Course Title]],'TSD-Data'!$A$1:$F$70,6,FALSE)</f>
        <v>8</v>
      </c>
      <c r="U306" s="378">
        <f>VLOOKUP(Table2[[#This Row],[Course Title]],'TSD-Data'!$A$1:$F$70,5,FALSE)</f>
        <v>1</v>
      </c>
      <c r="V306" s="379">
        <v>31</v>
      </c>
      <c r="W306" s="377"/>
      <c r="X306" s="377"/>
      <c r="Y306" s="420"/>
      <c r="Z306" s="420"/>
      <c r="AA306" s="415"/>
      <c r="AB306" s="415"/>
      <c r="AC306" s="421"/>
      <c r="AD306" s="421"/>
      <c r="AE306" s="420">
        <v>348</v>
      </c>
      <c r="AF306" s="415">
        <v>1</v>
      </c>
      <c r="AG306" s="403">
        <v>1</v>
      </c>
      <c r="AH306" s="403">
        <v>0</v>
      </c>
      <c r="AI306" s="403">
        <v>0</v>
      </c>
      <c r="AJ306" s="403" t="e">
        <v>#DIV/0!</v>
      </c>
      <c r="AK306" s="415"/>
      <c r="AL306" s="377">
        <v>3</v>
      </c>
      <c r="AM306" s="403" t="str">
        <f>VLOOKUP(Table2[[#This Row],[Course Title]],'TSD-Data'!$A$1:$G$70,7,FALSE)</f>
        <v>N4</v>
      </c>
    </row>
    <row r="307" spans="1:39" s="380" customFormat="1" x14ac:dyDescent="0.25">
      <c r="A307" s="368"/>
      <c r="B307" s="369" t="s">
        <v>39</v>
      </c>
      <c r="C307" s="370" t="str">
        <f>VLOOKUP(Table2[[#This Row],[Course Title]],'TSD-Data'!$A$1:$E$70,2,FALSE)</f>
        <v>A-570-0100</v>
      </c>
      <c r="D307" s="370" t="str">
        <f>VLOOKUP(Table2[[#This Row],[Course Title]],'TSD-Data'!$A$1:$E$70,3,FALSE)</f>
        <v>18B7</v>
      </c>
      <c r="E307" s="369" t="s">
        <v>86</v>
      </c>
      <c r="F307" s="371">
        <v>46153</v>
      </c>
      <c r="G307" s="371">
        <v>46154</v>
      </c>
      <c r="H307" s="371" t="s">
        <v>752</v>
      </c>
      <c r="I307" s="372"/>
      <c r="J307" s="372">
        <v>0.33333333333333331</v>
      </c>
      <c r="K307" s="381">
        <v>0.66666666666666663</v>
      </c>
      <c r="L307" s="381">
        <v>8.3333333333333329E-2</v>
      </c>
      <c r="M307" s="381">
        <v>0</v>
      </c>
      <c r="N307" s="381">
        <v>0.54166666666666663</v>
      </c>
      <c r="O307" s="381">
        <v>0.33333333333333331</v>
      </c>
      <c r="P307" s="375" t="s">
        <v>252</v>
      </c>
      <c r="Q307" s="375"/>
      <c r="R307" s="376"/>
      <c r="S307" s="370">
        <f>VLOOKUP(Table2[[#This Row],[Course Title]],'TSD-Data'!$A$1:$E$70,4,FALSE)</f>
        <v>45</v>
      </c>
      <c r="T307" s="377">
        <f>VLOOKUP(Table2[[#This Row],[Course Title]],'TSD-Data'!$A$1:$F$70,6,FALSE)</f>
        <v>16</v>
      </c>
      <c r="U307" s="378">
        <f>VLOOKUP(Table2[[#This Row],[Course Title]],'TSD-Data'!$A$1:$F$70,5,FALSE)</f>
        <v>2</v>
      </c>
      <c r="V307" s="379">
        <v>126</v>
      </c>
      <c r="W307" s="377"/>
      <c r="X307" s="377"/>
      <c r="Y307" s="378"/>
      <c r="Z307" s="378"/>
      <c r="AA307" s="370"/>
      <c r="AB307" s="370"/>
      <c r="AC307" s="370"/>
      <c r="AD307" s="370"/>
      <c r="AE307" s="378">
        <f ca="1">Table2[[#This Row],[End Date]]+2-TODAY()</f>
        <v>338</v>
      </c>
      <c r="AF307" s="370">
        <f>IF(ISBLANK(Table2[[#This Row],[Roster Received by]]),1,0)</f>
        <v>1</v>
      </c>
      <c r="AG307" s="377">
        <f ca="1">IF(Table2[[#This Row],[Start Date]]&gt;TODAY(),1,)</f>
        <v>1</v>
      </c>
      <c r="AH307" s="377">
        <f>IF(ISBLANK(Table2[[#This Row],[Primary Instructor]]),0,1)</f>
        <v>1</v>
      </c>
      <c r="AI307" s="377">
        <f>IF(ISBLANK(Table2[[#This Row],[Instructor 2]]),0,1)</f>
        <v>0</v>
      </c>
      <c r="AJ307" s="377">
        <f>Table2[[#This Row],[Course Length (Hours)]]/(SUM(Table2[[#This Row],[1]:[2]]))</f>
        <v>16</v>
      </c>
      <c r="AK307" s="370"/>
      <c r="AL307" s="377">
        <v>3</v>
      </c>
      <c r="AM307" s="403" t="str">
        <f>VLOOKUP(Table2[[#This Row],[Course Title]],'TSD-Data'!$A$1:$G$70,7,FALSE)</f>
        <v>N5</v>
      </c>
    </row>
    <row r="308" spans="1:39" s="380" customFormat="1" x14ac:dyDescent="0.25">
      <c r="A308" s="368"/>
      <c r="B308" s="369" t="s">
        <v>53</v>
      </c>
      <c r="C308" s="370" t="str">
        <f>VLOOKUP(Table2[[#This Row],[Course Title]],'TSD-Data'!$A$1:$E$70,2,FALSE)</f>
        <v>A-493-0072</v>
      </c>
      <c r="D308" s="370" t="str">
        <f>VLOOKUP(Table2[[#This Row],[Course Title]],'TSD-Data'!$A$1:$E$70,3,FALSE)</f>
        <v>713U</v>
      </c>
      <c r="E308" s="369" t="s">
        <v>176</v>
      </c>
      <c r="F308" s="371">
        <v>46153</v>
      </c>
      <c r="G308" s="371">
        <v>46157</v>
      </c>
      <c r="H308" s="371" t="s">
        <v>752</v>
      </c>
      <c r="I308" s="372">
        <v>0.33333333333333331</v>
      </c>
      <c r="J308" s="372"/>
      <c r="K308" s="371"/>
      <c r="L308" s="371"/>
      <c r="M308" s="371"/>
      <c r="N308" s="371"/>
      <c r="O308" s="371"/>
      <c r="P308" s="375" t="s">
        <v>297</v>
      </c>
      <c r="Q308" s="375"/>
      <c r="R308" s="376" t="s">
        <v>266</v>
      </c>
      <c r="S308" s="370">
        <f>VLOOKUP(Table2[[#This Row],[Course Title]],'TSD-Data'!$A$1:$E$70,4,FALSE)</f>
        <v>30</v>
      </c>
      <c r="T308" s="377">
        <f>VLOOKUP(Table2[[#This Row],[Course Title]],'TSD-Data'!$A$1:$F$70,6,FALSE)</f>
        <v>40</v>
      </c>
      <c r="U308" s="378">
        <f>VLOOKUP(Table2[[#This Row],[Course Title]],'TSD-Data'!$A$1:$F$70,5,FALSE)</f>
        <v>5</v>
      </c>
      <c r="V308" s="379">
        <v>265</v>
      </c>
      <c r="W308" s="377"/>
      <c r="X308" s="377"/>
      <c r="Y308" s="378"/>
      <c r="Z308" s="378"/>
      <c r="AA308" s="370"/>
      <c r="AB308" s="370"/>
      <c r="AC308" s="370"/>
      <c r="AD308" s="370"/>
      <c r="AE308" s="378">
        <f ca="1">Table2[[#This Row],[End Date]]+2-TODAY()</f>
        <v>341</v>
      </c>
      <c r="AF308" s="370">
        <f>IF(ISBLANK(Table2[[#This Row],[Roster Received by]]),1,0)</f>
        <v>1</v>
      </c>
      <c r="AG308" s="377">
        <f ca="1">IF(Table2[[#This Row],[Start Date]]&gt;TODAY(),1,)</f>
        <v>1</v>
      </c>
      <c r="AH308" s="377">
        <f>IF(ISBLANK(Table2[[#This Row],[Primary Instructor]]),0,1)</f>
        <v>1</v>
      </c>
      <c r="AI308" s="377">
        <f>IF(ISBLANK(Table2[[#This Row],[Instructor 2]]),0,1)</f>
        <v>0</v>
      </c>
      <c r="AJ308" s="377">
        <f>Table2[[#This Row],[Course Length (Hours)]]/(SUM(Table2[[#This Row],[1]:[2]]))</f>
        <v>40</v>
      </c>
      <c r="AK308" s="370"/>
      <c r="AL308" s="377">
        <v>3</v>
      </c>
      <c r="AM308" s="403" t="str">
        <f>VLOOKUP(Table2[[#This Row],[Course Title]],'TSD-Data'!$A$1:$G$70,7,FALSE)</f>
        <v>N3</v>
      </c>
    </row>
    <row r="309" spans="1:39" s="380" customFormat="1" x14ac:dyDescent="0.25">
      <c r="A309" s="368" t="s">
        <v>569</v>
      </c>
      <c r="B309" s="369" t="s">
        <v>53</v>
      </c>
      <c r="C309" s="370" t="str">
        <f>VLOOKUP(Table2[[#This Row],[Course Title]],'TSD-Data'!$A$1:$E$70,2,FALSE)</f>
        <v>A-493-0072</v>
      </c>
      <c r="D309" s="370" t="str">
        <f>VLOOKUP(Table2[[#This Row],[Course Title]],'TSD-Data'!$A$1:$E$70,3,FALSE)</f>
        <v>713U</v>
      </c>
      <c r="E309" s="369" t="s">
        <v>183</v>
      </c>
      <c r="F309" s="371">
        <v>46153</v>
      </c>
      <c r="G309" s="371">
        <v>46157</v>
      </c>
      <c r="H309" s="371" t="s">
        <v>752</v>
      </c>
      <c r="I309" s="372">
        <v>0.33333333333333331</v>
      </c>
      <c r="J309" s="372"/>
      <c r="K309" s="371"/>
      <c r="L309" s="371"/>
      <c r="M309" s="371"/>
      <c r="N309" s="371"/>
      <c r="O309" s="371"/>
      <c r="P309" s="375" t="s">
        <v>293</v>
      </c>
      <c r="Q309" s="375"/>
      <c r="R309" s="376" t="s">
        <v>248</v>
      </c>
      <c r="S309" s="370">
        <f>VLOOKUP(Table2[[#This Row],[Course Title]],'TSD-Data'!$A$1:$E$70,4,FALSE)</f>
        <v>30</v>
      </c>
      <c r="T309" s="377">
        <f>VLOOKUP(Table2[[#This Row],[Course Title]],'TSD-Data'!$A$1:$F$70,6,FALSE)</f>
        <v>40</v>
      </c>
      <c r="U309" s="378">
        <f>VLOOKUP(Table2[[#This Row],[Course Title]],'TSD-Data'!$A$1:$F$70,5,FALSE)</f>
        <v>5</v>
      </c>
      <c r="V309" s="379">
        <v>15</v>
      </c>
      <c r="W309" s="377"/>
      <c r="X309" s="377"/>
      <c r="Y309" s="378"/>
      <c r="Z309" s="378"/>
      <c r="AA309" s="370"/>
      <c r="AB309" s="370"/>
      <c r="AC309" s="370"/>
      <c r="AD309" s="370"/>
      <c r="AE309" s="378">
        <f ca="1">Table2[[#This Row],[End Date]]+2-TODAY()</f>
        <v>341</v>
      </c>
      <c r="AF309" s="370">
        <f>IF(ISBLANK(Table2[[#This Row],[Roster Received by]]),1,0)</f>
        <v>1</v>
      </c>
      <c r="AG309" s="377">
        <f ca="1">IF(Table2[[#This Row],[Start Date]]&gt;TODAY(),1,)</f>
        <v>1</v>
      </c>
      <c r="AH309" s="377">
        <f>IF(ISBLANK(Table2[[#This Row],[Primary Instructor]]),0,1)</f>
        <v>1</v>
      </c>
      <c r="AI309" s="377">
        <f>IF(ISBLANK(Table2[[#This Row],[Instructor 2]]),0,1)</f>
        <v>0</v>
      </c>
      <c r="AJ309" s="377">
        <f>Table2[[#This Row],[Course Length (Hours)]]/(SUM(Table2[[#This Row],[1]:[2]]))</f>
        <v>40</v>
      </c>
      <c r="AK309" s="370"/>
      <c r="AL309" s="377">
        <v>3</v>
      </c>
      <c r="AM309" s="403" t="str">
        <f>VLOOKUP(Table2[[#This Row],[Course Title]],'TSD-Data'!$A$1:$G$70,7,FALSE)</f>
        <v>N3</v>
      </c>
    </row>
    <row r="310" spans="1:39" s="380" customFormat="1" x14ac:dyDescent="0.25">
      <c r="A310" s="413" t="s">
        <v>751</v>
      </c>
      <c r="B310" s="414" t="s">
        <v>36</v>
      </c>
      <c r="C310" s="370" t="str">
        <f>VLOOKUP(Table2[[#This Row],[Course Title]],'TSD-Data'!$A$1:$E$70,2,FALSE)</f>
        <v>A-493-2017</v>
      </c>
      <c r="D310" s="370" t="str">
        <f>VLOOKUP(Table2[[#This Row],[Course Title]],'TSD-Data'!$A$1:$E$70,3,FALSE)</f>
        <v>12x3</v>
      </c>
      <c r="E310" s="414" t="s">
        <v>158</v>
      </c>
      <c r="F310" s="416">
        <v>46153</v>
      </c>
      <c r="G310" s="416">
        <v>46157</v>
      </c>
      <c r="H310" s="426" t="s">
        <v>753</v>
      </c>
      <c r="I310" s="417">
        <v>0.33333333333333331</v>
      </c>
      <c r="J310" s="417"/>
      <c r="K310" s="416"/>
      <c r="L310" s="416"/>
      <c r="M310" s="416"/>
      <c r="N310" s="416"/>
      <c r="O310" s="416"/>
      <c r="P310" s="418" t="s">
        <v>241</v>
      </c>
      <c r="Q310" s="418"/>
      <c r="R310" s="376"/>
      <c r="S310" s="370">
        <f>VLOOKUP(Table2[[#This Row],[Course Title]],'TSD-Data'!$A$1:$E$70,4,FALSE)</f>
        <v>25</v>
      </c>
      <c r="T310" s="377">
        <f>VLOOKUP(Table2[[#This Row],[Course Title]],'TSD-Data'!$A$1:$F$70,6,FALSE)</f>
        <v>40</v>
      </c>
      <c r="U310" s="378">
        <f>VLOOKUP(Table2[[#This Row],[Course Title]],'TSD-Data'!$A$1:$F$70,5,FALSE)</f>
        <v>5</v>
      </c>
      <c r="V310" s="379">
        <v>45</v>
      </c>
      <c r="W310" s="377"/>
      <c r="X310" s="377"/>
      <c r="Y310" s="420"/>
      <c r="Z310" s="420"/>
      <c r="AA310" s="415"/>
      <c r="AB310" s="415"/>
      <c r="AC310" s="421"/>
      <c r="AD310" s="421"/>
      <c r="AE310" s="420">
        <v>352</v>
      </c>
      <c r="AF310" s="415">
        <v>1</v>
      </c>
      <c r="AG310" s="403">
        <v>1</v>
      </c>
      <c r="AH310" s="403">
        <v>1</v>
      </c>
      <c r="AI310" s="403">
        <v>0</v>
      </c>
      <c r="AJ310" s="403">
        <v>40</v>
      </c>
      <c r="AK310" s="415"/>
      <c r="AL310" s="377">
        <v>3</v>
      </c>
      <c r="AM310" s="403" t="str">
        <f>VLOOKUP(Table2[[#This Row],[Course Title]],'TSD-Data'!$A$1:$G$70,7,FALSE)</f>
        <v>N4</v>
      </c>
    </row>
    <row r="311" spans="1:39" s="380" customFormat="1" x14ac:dyDescent="0.25">
      <c r="A311" s="413" t="s">
        <v>735</v>
      </c>
      <c r="B311" s="414" t="s">
        <v>28</v>
      </c>
      <c r="C311" s="370" t="str">
        <f>VLOOKUP(Table2[[#This Row],[Course Title]],'TSD-Data'!$A$1:$E$70,2,FALSE)</f>
        <v>A-493-0013</v>
      </c>
      <c r="D311" s="370">
        <f>VLOOKUP(Table2[[#This Row],[Course Title]],'TSD-Data'!$A$1:$E$70,3,FALSE)</f>
        <v>3683</v>
      </c>
      <c r="E311" s="414" t="s">
        <v>296</v>
      </c>
      <c r="F311" s="416">
        <v>46155</v>
      </c>
      <c r="G311" s="416">
        <v>46157</v>
      </c>
      <c r="H311" s="426" t="s">
        <v>753</v>
      </c>
      <c r="I311" s="417">
        <v>0.33333333333333331</v>
      </c>
      <c r="J311" s="417"/>
      <c r="K311" s="416"/>
      <c r="L311" s="416"/>
      <c r="M311" s="416"/>
      <c r="N311" s="416"/>
      <c r="O311" s="416"/>
      <c r="P311" s="418" t="s">
        <v>241</v>
      </c>
      <c r="Q311" s="418"/>
      <c r="R311" s="376"/>
      <c r="S311" s="370">
        <f>VLOOKUP(Table2[[#This Row],[Course Title]],'TSD-Data'!$A$1:$E$70,4,FALSE)</f>
        <v>40</v>
      </c>
      <c r="T311" s="377">
        <f>VLOOKUP(Table2[[#This Row],[Course Title]],'TSD-Data'!$A$1:$F$70,6,FALSE)</f>
        <v>24</v>
      </c>
      <c r="U311" s="378">
        <f>VLOOKUP(Table2[[#This Row],[Course Title]],'TSD-Data'!$A$1:$F$70,5,FALSE)</f>
        <v>3</v>
      </c>
      <c r="V311" s="379">
        <v>30</v>
      </c>
      <c r="W311" s="377"/>
      <c r="X311" s="377"/>
      <c r="Y311" s="420"/>
      <c r="Z311" s="420"/>
      <c r="AA311" s="415"/>
      <c r="AB311" s="415"/>
      <c r="AC311" s="421"/>
      <c r="AD311" s="421"/>
      <c r="AE311" s="420">
        <v>352</v>
      </c>
      <c r="AF311" s="415">
        <v>1</v>
      </c>
      <c r="AG311" s="403">
        <v>1</v>
      </c>
      <c r="AH311" s="403">
        <v>1</v>
      </c>
      <c r="AI311" s="403">
        <v>0</v>
      </c>
      <c r="AJ311" s="403">
        <v>24</v>
      </c>
      <c r="AK311" s="415"/>
      <c r="AL311" s="377">
        <v>3</v>
      </c>
      <c r="AM311" s="403" t="str">
        <f>VLOOKUP(Table2[[#This Row],[Course Title]],'TSD-Data'!$A$1:$G$70,7,FALSE)</f>
        <v>N4</v>
      </c>
    </row>
    <row r="312" spans="1:39" s="380" customFormat="1" x14ac:dyDescent="0.25">
      <c r="A312" s="368"/>
      <c r="B312" s="369" t="s">
        <v>57</v>
      </c>
      <c r="C312" s="370" t="str">
        <f>VLOOKUP(Table2[[#This Row],[Course Title]],'TSD-Data'!$A$1:$E$70,2,FALSE)</f>
        <v>A-493-0099</v>
      </c>
      <c r="D312" s="370" t="str">
        <f>VLOOKUP(Table2[[#This Row],[Course Title]],'TSD-Data'!$A$1:$E$70,3,FALSE)</f>
        <v>12JW</v>
      </c>
      <c r="E312" s="369" t="s">
        <v>86</v>
      </c>
      <c r="F312" s="371">
        <v>46155</v>
      </c>
      <c r="G312" s="371">
        <v>46157</v>
      </c>
      <c r="H312" s="371" t="s">
        <v>752</v>
      </c>
      <c r="I312" s="372"/>
      <c r="J312" s="372">
        <v>0.5</v>
      </c>
      <c r="K312" s="381">
        <v>0.375</v>
      </c>
      <c r="L312" s="381">
        <v>0.79166666666666663</v>
      </c>
      <c r="M312" s="381">
        <v>0.75</v>
      </c>
      <c r="N312" s="381">
        <v>0.25</v>
      </c>
      <c r="O312" s="381">
        <v>4.1666666666666664E-2</v>
      </c>
      <c r="P312" s="375" t="s">
        <v>277</v>
      </c>
      <c r="Q312" s="375"/>
      <c r="R312" s="376"/>
      <c r="S312" s="370">
        <f>VLOOKUP(Table2[[#This Row],[Course Title]],'TSD-Data'!$A$1:$E$70,4,FALSE)</f>
        <v>45</v>
      </c>
      <c r="T312" s="377">
        <f>VLOOKUP(Table2[[#This Row],[Course Title]],'TSD-Data'!$A$1:$F$70,6,FALSE)</f>
        <v>24</v>
      </c>
      <c r="U312" s="378">
        <f>VLOOKUP(Table2[[#This Row],[Course Title]],'TSD-Data'!$A$1:$F$70,5,FALSE)</f>
        <v>3</v>
      </c>
      <c r="V312" s="379">
        <v>934</v>
      </c>
      <c r="W312" s="377"/>
      <c r="X312" s="377"/>
      <c r="Y312" s="378"/>
      <c r="Z312" s="378"/>
      <c r="AA312" s="370"/>
      <c r="AB312" s="370"/>
      <c r="AC312" s="370"/>
      <c r="AD312" s="370"/>
      <c r="AE312" s="378">
        <f ca="1">Table2[[#This Row],[End Date]]+2-TODAY()</f>
        <v>341</v>
      </c>
      <c r="AF312" s="370">
        <f>IF(ISBLANK(Table2[[#This Row],[Roster Received by]]),1,0)</f>
        <v>1</v>
      </c>
      <c r="AG312" s="377">
        <f ca="1">IF(Table2[[#This Row],[Start Date]]&gt;TODAY(),1,)</f>
        <v>1</v>
      </c>
      <c r="AH312" s="377">
        <f>IF(ISBLANK(Table2[[#This Row],[Primary Instructor]]),0,1)</f>
        <v>1</v>
      </c>
      <c r="AI312" s="377">
        <f>IF(ISBLANK(Table2[[#This Row],[Instructor 2]]),0,1)</f>
        <v>0</v>
      </c>
      <c r="AJ312" s="377">
        <f>Table2[[#This Row],[Course Length (Hours)]]/(SUM(Table2[[#This Row],[1]:[2]]))</f>
        <v>24</v>
      </c>
      <c r="AK312" s="370"/>
      <c r="AL312" s="377">
        <v>3</v>
      </c>
      <c r="AM312" s="403" t="str">
        <f>VLOOKUP(Table2[[#This Row],[Course Title]],'TSD-Data'!$A$1:$G$70,7,FALSE)</f>
        <v>N5</v>
      </c>
    </row>
    <row r="313" spans="1:39" s="380" customFormat="1" x14ac:dyDescent="0.25">
      <c r="A313" s="413"/>
      <c r="B313" s="369" t="s">
        <v>31</v>
      </c>
      <c r="C313" s="370" t="str">
        <f>VLOOKUP(Table2[[#This Row],[Course Title]],'TSD-Data'!$A$1:$E$70,2,FALSE)</f>
        <v>A-493-0083</v>
      </c>
      <c r="D313" s="370" t="str">
        <f>VLOOKUP(Table2[[#This Row],[Course Title]],'TSD-Data'!$A$1:$E$70,3,FALSE)</f>
        <v>339E</v>
      </c>
      <c r="E313" s="414" t="s">
        <v>409</v>
      </c>
      <c r="F313" s="416">
        <v>46156</v>
      </c>
      <c r="G313" s="416">
        <v>46156</v>
      </c>
      <c r="H313" s="426" t="s">
        <v>753</v>
      </c>
      <c r="I313" s="417">
        <v>0.33333333333333331</v>
      </c>
      <c r="J313" s="417"/>
      <c r="K313" s="416"/>
      <c r="L313" s="416"/>
      <c r="M313" s="416"/>
      <c r="N313" s="416"/>
      <c r="O313" s="416"/>
      <c r="P313" s="418" t="s">
        <v>241</v>
      </c>
      <c r="Q313" s="418"/>
      <c r="R313" s="376"/>
      <c r="S313" s="370">
        <f>VLOOKUP(Table2[[#This Row],[Course Title]],'TSD-Data'!$A$1:$E$70,4,FALSE)</f>
        <v>30</v>
      </c>
      <c r="T313" s="377">
        <f>VLOOKUP(Table2[[#This Row],[Course Title]],'TSD-Data'!$A$1:$F$70,6,FALSE)</f>
        <v>8</v>
      </c>
      <c r="U313" s="378">
        <f>VLOOKUP(Table2[[#This Row],[Course Title]],'TSD-Data'!$A$1:$F$70,5,FALSE)</f>
        <v>1</v>
      </c>
      <c r="V313" s="379">
        <v>31</v>
      </c>
      <c r="W313" s="377"/>
      <c r="X313" s="377"/>
      <c r="Y313" s="420"/>
      <c r="Z313" s="420"/>
      <c r="AA313" s="415"/>
      <c r="AB313" s="415"/>
      <c r="AC313" s="421"/>
      <c r="AD313" s="421"/>
      <c r="AE313" s="420">
        <v>351</v>
      </c>
      <c r="AF313" s="415">
        <v>1</v>
      </c>
      <c r="AG313" s="403">
        <v>1</v>
      </c>
      <c r="AH313" s="403">
        <v>1</v>
      </c>
      <c r="AI313" s="403">
        <v>0</v>
      </c>
      <c r="AJ313" s="403">
        <v>8</v>
      </c>
      <c r="AK313" s="415"/>
      <c r="AL313" s="377">
        <v>3</v>
      </c>
      <c r="AM313" s="403" t="str">
        <f>VLOOKUP(Table2[[#This Row],[Course Title]],'TSD-Data'!$A$1:$G$70,7,FALSE)</f>
        <v>N4</v>
      </c>
    </row>
    <row r="314" spans="1:39" s="380" customFormat="1" x14ac:dyDescent="0.25">
      <c r="A314" s="368"/>
      <c r="B314" s="432" t="s">
        <v>37</v>
      </c>
      <c r="C314" s="370" t="str">
        <f>VLOOKUP(Table2[[#This Row],[Course Title]],'TSD-Data'!$A$1:$E$70,2,FALSE)</f>
        <v>A-493-0665</v>
      </c>
      <c r="D314" s="370" t="str">
        <f>VLOOKUP(Table2[[#This Row],[Course Title]],'TSD-Data'!$A$1:$E$70,3,FALSE)</f>
        <v>10KW</v>
      </c>
      <c r="E314" s="369" t="s">
        <v>86</v>
      </c>
      <c r="F314" s="371">
        <v>46160</v>
      </c>
      <c r="G314" s="371">
        <v>46162</v>
      </c>
      <c r="H314" s="371" t="s">
        <v>752</v>
      </c>
      <c r="I314" s="372"/>
      <c r="J314" s="372">
        <v>0.33333333333333331</v>
      </c>
      <c r="K314" s="440">
        <v>0.20833333333333334</v>
      </c>
      <c r="L314" s="372">
        <v>0.625</v>
      </c>
      <c r="M314" s="372">
        <v>0.54166666666666663</v>
      </c>
      <c r="N314" s="372">
        <v>8.3333333333333329E-2</v>
      </c>
      <c r="O314" s="372">
        <v>0.875</v>
      </c>
      <c r="P314" s="375" t="s">
        <v>248</v>
      </c>
      <c r="Q314" s="375"/>
      <c r="R314" s="376"/>
      <c r="S314" s="370">
        <f>VLOOKUP(Table2[[#This Row],[Course Title]],'TSD-Data'!$A$1:$E$70,4,FALSE)</f>
        <v>45</v>
      </c>
      <c r="T314" s="377">
        <f>VLOOKUP(Table2[[#This Row],[Course Title]],'TSD-Data'!$A$1:$F$70,6,FALSE)</f>
        <v>24</v>
      </c>
      <c r="U314" s="378">
        <f>VLOOKUP(Table2[[#This Row],[Course Title]],'TSD-Data'!$A$1:$F$70,5,FALSE)</f>
        <v>3</v>
      </c>
      <c r="V314" s="379">
        <v>140</v>
      </c>
      <c r="W314" s="377"/>
      <c r="X314" s="377"/>
      <c r="Y314" s="378"/>
      <c r="Z314" s="378"/>
      <c r="AA314" s="370"/>
      <c r="AB314" s="370"/>
      <c r="AC314" s="370"/>
      <c r="AD314" s="370"/>
      <c r="AE314" s="378">
        <f ca="1">Table2[[#This Row],[End Date]]+2-TODAY()</f>
        <v>346</v>
      </c>
      <c r="AF314" s="370">
        <f>IF(ISBLANK(Table2[[#This Row],[Roster Received by]]),1,0)</f>
        <v>1</v>
      </c>
      <c r="AG314" s="377">
        <f ca="1">IF(Table2[[#This Row],[Start Date]]&gt;TODAY(),1,)</f>
        <v>1</v>
      </c>
      <c r="AH314" s="377">
        <f>IF(ISBLANK(Table2[[#This Row],[Primary Instructor]]),0,1)</f>
        <v>1</v>
      </c>
      <c r="AI314" s="377">
        <f>IF(ISBLANK(Table2[[#This Row],[Instructor 2]]),0,1)</f>
        <v>0</v>
      </c>
      <c r="AJ314" s="377">
        <f>Table2[[#This Row],[Course Length (Hours)]]/(SUM(Table2[[#This Row],[1]:[2]]))</f>
        <v>24</v>
      </c>
      <c r="AK314" s="370"/>
      <c r="AL314" s="377">
        <v>3</v>
      </c>
      <c r="AM314" s="403" t="str">
        <f>VLOOKUP(Table2[[#This Row],[Course Title]],'TSD-Data'!$A$1:$G$70,7,FALSE)</f>
        <v>N5</v>
      </c>
    </row>
    <row r="315" spans="1:39" s="380" customFormat="1" x14ac:dyDescent="0.25">
      <c r="A315" s="425" t="s">
        <v>721</v>
      </c>
      <c r="B315" s="401" t="s">
        <v>17</v>
      </c>
      <c r="C315" s="370" t="str">
        <f>VLOOKUP(Table2[[#This Row],[Course Title]],'TSD-Data'!$A$1:$E$70,2,FALSE)</f>
        <v>A-493-0012</v>
      </c>
      <c r="D315" s="370">
        <f>VLOOKUP(Table2[[#This Row],[Course Title]],'TSD-Data'!$A$1:$E$70,3,FALSE)</f>
        <v>3682</v>
      </c>
      <c r="E315" s="401" t="s">
        <v>157</v>
      </c>
      <c r="F315" s="426">
        <v>46160</v>
      </c>
      <c r="G315" s="426">
        <v>46164</v>
      </c>
      <c r="H315" s="426" t="s">
        <v>753</v>
      </c>
      <c r="I315" s="372">
        <v>0.33333333333333331</v>
      </c>
      <c r="J315" s="372"/>
      <c r="K315" s="371"/>
      <c r="L315" s="371"/>
      <c r="M315" s="371"/>
      <c r="N315" s="371"/>
      <c r="O315" s="371"/>
      <c r="P315" s="375" t="s">
        <v>241</v>
      </c>
      <c r="Q315" s="375"/>
      <c r="R315" s="376"/>
      <c r="S315" s="370">
        <f>VLOOKUP(Table2[[#This Row],[Course Title]],'TSD-Data'!$A$1:$E$70,4,FALSE)</f>
        <v>40</v>
      </c>
      <c r="T315" s="377">
        <f>VLOOKUP(Table2[[#This Row],[Course Title]],'TSD-Data'!$A$1:$F$70,6,FALSE)</f>
        <v>40</v>
      </c>
      <c r="U315" s="378">
        <f>VLOOKUP(Table2[[#This Row],[Course Title]],'TSD-Data'!$A$1:$F$70,5,FALSE)</f>
        <v>5</v>
      </c>
      <c r="V315" s="377">
        <v>20</v>
      </c>
      <c r="W315" s="377"/>
      <c r="X315" s="377"/>
      <c r="Y315" s="378"/>
      <c r="Z315" s="378"/>
      <c r="AA315" s="370"/>
      <c r="AB315" s="370"/>
      <c r="AC315" s="370"/>
      <c r="AD315" s="370"/>
      <c r="AE315" s="378" t="e">
        <v>#REF!</v>
      </c>
      <c r="AF315" s="370">
        <v>0</v>
      </c>
      <c r="AG315" s="377" t="e">
        <v>#REF!</v>
      </c>
      <c r="AH315" s="377">
        <v>1</v>
      </c>
      <c r="AI315" s="377">
        <v>1</v>
      </c>
      <c r="AJ315" s="377" t="e">
        <v>#VALUE!</v>
      </c>
      <c r="AK315" s="370"/>
      <c r="AL315" s="377">
        <v>3</v>
      </c>
      <c r="AM315" s="403" t="str">
        <f>VLOOKUP(Table2[[#This Row],[Course Title]],'TSD-Data'!$A$1:$G$70,7,FALSE)</f>
        <v>N4</v>
      </c>
    </row>
    <row r="316" spans="1:39" s="380" customFormat="1" x14ac:dyDescent="0.25">
      <c r="A316" s="368"/>
      <c r="B316" s="369" t="s">
        <v>38</v>
      </c>
      <c r="C316" s="370" t="str">
        <f>VLOOKUP(Table2[[#This Row],[Course Title]],'TSD-Data'!$A$1:$E$70,2,FALSE)</f>
        <v>A-493-0061</v>
      </c>
      <c r="D316" s="370" t="str">
        <f>VLOOKUP(Table2[[#This Row],[Course Title]],'TSD-Data'!$A$1:$E$70,3,FALSE)</f>
        <v>288E</v>
      </c>
      <c r="E316" s="369" t="s">
        <v>86</v>
      </c>
      <c r="F316" s="371">
        <v>46160</v>
      </c>
      <c r="G316" s="371">
        <v>46163</v>
      </c>
      <c r="H316" s="371" t="s">
        <v>752</v>
      </c>
      <c r="I316" s="372"/>
      <c r="J316" s="372">
        <v>0.5</v>
      </c>
      <c r="K316" s="381">
        <v>0.375</v>
      </c>
      <c r="L316" s="381">
        <v>0.79166666666666663</v>
      </c>
      <c r="M316" s="381">
        <v>0.75</v>
      </c>
      <c r="N316" s="381">
        <v>0.25</v>
      </c>
      <c r="O316" s="381">
        <v>4.1666666666666664E-2</v>
      </c>
      <c r="P316" s="375" t="s">
        <v>274</v>
      </c>
      <c r="Q316" s="375"/>
      <c r="R316" s="376"/>
      <c r="S316" s="370">
        <f>VLOOKUP(Table2[[#This Row],[Course Title]],'TSD-Data'!$A$1:$E$70,4,FALSE)</f>
        <v>45</v>
      </c>
      <c r="T316" s="377">
        <f>VLOOKUP(Table2[[#This Row],[Course Title]],'TSD-Data'!$A$1:$F$70,6,FALSE)</f>
        <v>30</v>
      </c>
      <c r="U316" s="378">
        <f>VLOOKUP(Table2[[#This Row],[Course Title]],'TSD-Data'!$A$1:$F$70,5,FALSE)</f>
        <v>4</v>
      </c>
      <c r="V316" s="379">
        <v>620</v>
      </c>
      <c r="W316" s="377"/>
      <c r="X316" s="377"/>
      <c r="Y316" s="378"/>
      <c r="Z316" s="378"/>
      <c r="AA316" s="370"/>
      <c r="AB316" s="370"/>
      <c r="AC316" s="370"/>
      <c r="AD316" s="370"/>
      <c r="AE316" s="378">
        <f ca="1">Table2[[#This Row],[End Date]]+2-TODAY()</f>
        <v>347</v>
      </c>
      <c r="AF316" s="370">
        <f>IF(ISBLANK(Table2[[#This Row],[Roster Received by]]),1,0)</f>
        <v>1</v>
      </c>
      <c r="AG316" s="377">
        <f ca="1">IF(Table2[[#This Row],[Start Date]]&gt;TODAY(),1,)</f>
        <v>1</v>
      </c>
      <c r="AH316" s="377">
        <f>IF(ISBLANK(Table2[[#This Row],[Primary Instructor]]),0,1)</f>
        <v>1</v>
      </c>
      <c r="AI316" s="377">
        <f>IF(ISBLANK(Table2[[#This Row],[Instructor 2]]),0,1)</f>
        <v>0</v>
      </c>
      <c r="AJ316" s="377">
        <f>Table2[[#This Row],[Course Length (Hours)]]/(SUM(Table2[[#This Row],[1]:[2]]))</f>
        <v>30</v>
      </c>
      <c r="AK316" s="370"/>
      <c r="AL316" s="377">
        <v>3</v>
      </c>
      <c r="AM316" s="403" t="str">
        <f>VLOOKUP(Table2[[#This Row],[Course Title]],'TSD-Data'!$A$1:$G$70,7,FALSE)</f>
        <v>N5</v>
      </c>
    </row>
    <row r="317" spans="1:39" s="380" customFormat="1" x14ac:dyDescent="0.25">
      <c r="A317" s="368"/>
      <c r="B317" s="369" t="s">
        <v>120</v>
      </c>
      <c r="C317" s="370" t="str">
        <f>VLOOKUP(Table2[[#This Row],[Course Title]],'TSD-Data'!$A$1:$E$70,2,FALSE)</f>
        <v>A-322-2604</v>
      </c>
      <c r="D317" s="370" t="str">
        <f>VLOOKUP(Table2[[#This Row],[Course Title]],'TSD-Data'!$A$1:$E$70,3,FALSE)</f>
        <v>10ZZ</v>
      </c>
      <c r="E317" s="369" t="s">
        <v>86</v>
      </c>
      <c r="F317" s="371">
        <v>46160</v>
      </c>
      <c r="G317" s="371">
        <v>46162</v>
      </c>
      <c r="H317" s="371" t="s">
        <v>752</v>
      </c>
      <c r="I317" s="372"/>
      <c r="J317" s="399">
        <v>0.5</v>
      </c>
      <c r="K317" s="381">
        <v>0.375</v>
      </c>
      <c r="L317" s="381">
        <v>0.79166666666666663</v>
      </c>
      <c r="M317" s="381">
        <v>0.75</v>
      </c>
      <c r="N317" s="381">
        <v>0.25</v>
      </c>
      <c r="O317" s="381">
        <v>4.1666666666666664E-2</v>
      </c>
      <c r="P317" s="375" t="s">
        <v>252</v>
      </c>
      <c r="Q317" s="375"/>
      <c r="R317" s="376"/>
      <c r="S317" s="370">
        <f>VLOOKUP(Table2[[#This Row],[Course Title]],'TSD-Data'!$A$1:$E$70,4,FALSE)</f>
        <v>45</v>
      </c>
      <c r="T317" s="377">
        <f>VLOOKUP(Table2[[#This Row],[Course Title]],'TSD-Data'!$A$1:$F$70,6,FALSE)</f>
        <v>24</v>
      </c>
      <c r="U317" s="378">
        <f>VLOOKUP(Table2[[#This Row],[Course Title]],'TSD-Data'!$A$1:$F$70,5,FALSE)</f>
        <v>3</v>
      </c>
      <c r="V317" s="379">
        <v>621</v>
      </c>
      <c r="W317" s="377"/>
      <c r="X317" s="377"/>
      <c r="Y317" s="378"/>
      <c r="Z317" s="378"/>
      <c r="AA317" s="370"/>
      <c r="AB317" s="370"/>
      <c r="AC317" s="370"/>
      <c r="AD317" s="370"/>
      <c r="AE317" s="378">
        <f ca="1">Table2[[#This Row],[End Date]]+2-TODAY()</f>
        <v>346</v>
      </c>
      <c r="AF317" s="370">
        <f>IF(ISBLANK(Table2[[#This Row],[Roster Received by]]),1,0)</f>
        <v>1</v>
      </c>
      <c r="AG317" s="377">
        <f ca="1">IF(Table2[[#This Row],[Start Date]]&gt;TODAY(),1,)</f>
        <v>1</v>
      </c>
      <c r="AH317" s="377">
        <f>IF(ISBLANK(Table2[[#This Row],[Primary Instructor]]),0,1)</f>
        <v>1</v>
      </c>
      <c r="AI317" s="377">
        <f>IF(ISBLANK(Table2[[#This Row],[Instructor 2]]),0,1)</f>
        <v>0</v>
      </c>
      <c r="AJ317" s="377">
        <f>Table2[[#This Row],[Course Length (Hours)]]/(SUM(Table2[[#This Row],[1]:[2]]))</f>
        <v>24</v>
      </c>
      <c r="AK317" s="370"/>
      <c r="AL317" s="377">
        <v>3</v>
      </c>
      <c r="AM317" s="403" t="str">
        <f>VLOOKUP(Table2[[#This Row],[Course Title]],'TSD-Data'!$A$1:$G$70,7,FALSE)</f>
        <v>N3</v>
      </c>
    </row>
    <row r="318" spans="1:39" s="380" customFormat="1" x14ac:dyDescent="0.25">
      <c r="A318" s="368"/>
      <c r="B318" s="369" t="s">
        <v>51</v>
      </c>
      <c r="C318" s="370" t="str">
        <f>VLOOKUP(Table2[[#This Row],[Course Title]],'TSD-Data'!$A$1:$E$70,2,FALSE)</f>
        <v>A-493-0335</v>
      </c>
      <c r="D318" s="370" t="str">
        <f>VLOOKUP(Table2[[#This Row],[Course Title]],'TSD-Data'!$A$1:$E$70,3,FALSE)</f>
        <v>09ND</v>
      </c>
      <c r="E318" s="369" t="s">
        <v>86</v>
      </c>
      <c r="F318" s="371">
        <v>46160</v>
      </c>
      <c r="G318" s="371">
        <v>46163</v>
      </c>
      <c r="H318" s="371" t="s">
        <v>752</v>
      </c>
      <c r="I318" s="372"/>
      <c r="J318" s="372">
        <v>0.5</v>
      </c>
      <c r="K318" s="381">
        <v>0.375</v>
      </c>
      <c r="L318" s="381">
        <v>0.79166666666666663</v>
      </c>
      <c r="M318" s="381">
        <v>0.75</v>
      </c>
      <c r="N318" s="381">
        <v>0.25</v>
      </c>
      <c r="O318" s="381">
        <v>4.1666666666666664E-2</v>
      </c>
      <c r="P318" s="375" t="s">
        <v>292</v>
      </c>
      <c r="Q318" s="375"/>
      <c r="R318" s="376"/>
      <c r="S318" s="370">
        <f>VLOOKUP(Table2[[#This Row],[Course Title]],'TSD-Data'!$A$1:$E$70,4,FALSE)</f>
        <v>45</v>
      </c>
      <c r="T318" s="377">
        <f>VLOOKUP(Table2[[#This Row],[Course Title]],'TSD-Data'!$A$1:$F$70,6,FALSE)</f>
        <v>32</v>
      </c>
      <c r="U318" s="378">
        <f>VLOOKUP(Table2[[#This Row],[Course Title]],'TSD-Data'!$A$1:$F$70,5,FALSE)</f>
        <v>4</v>
      </c>
      <c r="V318" s="379">
        <v>537</v>
      </c>
      <c r="W318" s="377"/>
      <c r="X318" s="377"/>
      <c r="Y318" s="378"/>
      <c r="Z318" s="378"/>
      <c r="AA318" s="370"/>
      <c r="AB318" s="370"/>
      <c r="AC318" s="370"/>
      <c r="AD318" s="370"/>
      <c r="AE318" s="378">
        <f ca="1">Table2[[#This Row],[End Date]]+2-TODAY()</f>
        <v>347</v>
      </c>
      <c r="AF318" s="370">
        <f>IF(ISBLANK(Table2[[#This Row],[Roster Received by]]),1,0)</f>
        <v>1</v>
      </c>
      <c r="AG318" s="377">
        <f ca="1">IF(Table2[[#This Row],[Start Date]]&gt;TODAY(),1,)</f>
        <v>1</v>
      </c>
      <c r="AH318" s="377">
        <f>IF(ISBLANK(Table2[[#This Row],[Primary Instructor]]),0,1)</f>
        <v>1</v>
      </c>
      <c r="AI318" s="377">
        <f>IF(ISBLANK(Table2[[#This Row],[Instructor 2]]),0,1)</f>
        <v>0</v>
      </c>
      <c r="AJ318" s="377">
        <f>Table2[[#This Row],[Course Length (Hours)]]/(SUM(Table2[[#This Row],[1]:[2]]))</f>
        <v>32</v>
      </c>
      <c r="AK318" s="370"/>
      <c r="AL318" s="377">
        <v>3</v>
      </c>
      <c r="AM318" s="403" t="str">
        <f>VLOOKUP(Table2[[#This Row],[Course Title]],'TSD-Data'!$A$1:$G$70,7,FALSE)</f>
        <v>N3</v>
      </c>
    </row>
    <row r="319" spans="1:39" s="380" customFormat="1" x14ac:dyDescent="0.25">
      <c r="A319" s="368"/>
      <c r="B319" s="369" t="s">
        <v>61</v>
      </c>
      <c r="C319" s="370" t="str">
        <f>VLOOKUP(Table2[[#This Row],[Course Title]],'TSD-Data'!$A$1:$E$70,2,FALSE)</f>
        <v>A-493-0078</v>
      </c>
      <c r="D319" s="370">
        <f>VLOOKUP(Table2[[#This Row],[Course Title]],'TSD-Data'!$A$1:$E$70,3,FALSE)</f>
        <v>1228</v>
      </c>
      <c r="E319" s="369" t="s">
        <v>86</v>
      </c>
      <c r="F319" s="371">
        <v>46160</v>
      </c>
      <c r="G319" s="371">
        <v>46163</v>
      </c>
      <c r="H319" s="371" t="s">
        <v>752</v>
      </c>
      <c r="I319" s="372"/>
      <c r="J319" s="372">
        <v>0.5</v>
      </c>
      <c r="K319" s="381">
        <v>0.375</v>
      </c>
      <c r="L319" s="381">
        <v>0.79166666666666663</v>
      </c>
      <c r="M319" s="381">
        <v>0.75</v>
      </c>
      <c r="N319" s="381">
        <v>0.25</v>
      </c>
      <c r="O319" s="381">
        <v>4.1666666666666664E-2</v>
      </c>
      <c r="P319" s="375" t="s">
        <v>256</v>
      </c>
      <c r="Q319" s="375"/>
      <c r="R319" s="376"/>
      <c r="S319" s="370">
        <f>VLOOKUP(Table2[[#This Row],[Course Title]],'TSD-Data'!$A$1:$E$70,4,FALSE)</f>
        <v>45</v>
      </c>
      <c r="T319" s="377">
        <f>VLOOKUP(Table2[[#This Row],[Course Title]],'TSD-Data'!$A$1:$F$70,6,FALSE)</f>
        <v>32</v>
      </c>
      <c r="U319" s="378">
        <f>VLOOKUP(Table2[[#This Row],[Course Title]],'TSD-Data'!$A$1:$F$70,5,FALSE)</f>
        <v>4</v>
      </c>
      <c r="V319" s="379">
        <v>568</v>
      </c>
      <c r="W319" s="377"/>
      <c r="X319" s="377"/>
      <c r="Y319" s="378"/>
      <c r="Z319" s="378"/>
      <c r="AA319" s="370"/>
      <c r="AB319" s="370"/>
      <c r="AC319" s="370"/>
      <c r="AD319" s="370"/>
      <c r="AE319" s="378">
        <f ca="1">Table2[[#This Row],[End Date]]+2-TODAY()</f>
        <v>347</v>
      </c>
      <c r="AF319" s="370">
        <f>IF(ISBLANK(Table2[[#This Row],[Roster Received by]]),1,0)</f>
        <v>1</v>
      </c>
      <c r="AG319" s="377">
        <f ca="1">IF(Table2[[#This Row],[Start Date]]&gt;TODAY(),1,)</f>
        <v>1</v>
      </c>
      <c r="AH319" s="377">
        <f>IF(ISBLANK(Table2[[#This Row],[Primary Instructor]]),0,1)</f>
        <v>1</v>
      </c>
      <c r="AI319" s="377">
        <f>IF(ISBLANK(Table2[[#This Row],[Instructor 2]]),0,1)</f>
        <v>0</v>
      </c>
      <c r="AJ319" s="377">
        <f>Table2[[#This Row],[Course Length (Hours)]]/(SUM(Table2[[#This Row],[1]:[2]]))</f>
        <v>32</v>
      </c>
      <c r="AK319" s="370"/>
      <c r="AL319" s="377">
        <v>3</v>
      </c>
      <c r="AM319" s="403" t="str">
        <f>VLOOKUP(Table2[[#This Row],[Course Title]],'TSD-Data'!$A$1:$G$70,7,FALSE)</f>
        <v>N5</v>
      </c>
    </row>
    <row r="320" spans="1:39" s="380" customFormat="1" x14ac:dyDescent="0.25">
      <c r="A320" s="413"/>
      <c r="B320" s="414" t="s">
        <v>35</v>
      </c>
      <c r="C320" s="370" t="str">
        <f>VLOOKUP(Table2[[#This Row],[Course Title]],'TSD-Data'!$A$1:$E$70,2,FALSE)</f>
        <v>A-493-2501</v>
      </c>
      <c r="D320" s="370" t="str">
        <f>VLOOKUP(Table2[[#This Row],[Course Title]],'TSD-Data'!$A$1:$E$70,3,FALSE)</f>
        <v>05ZE</v>
      </c>
      <c r="E320" s="414" t="s">
        <v>168</v>
      </c>
      <c r="F320" s="416">
        <v>46160</v>
      </c>
      <c r="G320" s="416">
        <v>46160</v>
      </c>
      <c r="H320" s="426" t="s">
        <v>753</v>
      </c>
      <c r="I320" s="417">
        <v>0.33333333333333331</v>
      </c>
      <c r="J320" s="417"/>
      <c r="K320" s="416"/>
      <c r="L320" s="416"/>
      <c r="M320" s="416"/>
      <c r="N320" s="416"/>
      <c r="O320" s="416"/>
      <c r="P320" s="418" t="s">
        <v>241</v>
      </c>
      <c r="Q320" s="418"/>
      <c r="R320" s="376"/>
      <c r="S320" s="370">
        <f>VLOOKUP(Table2[[#This Row],[Course Title]],'TSD-Data'!$A$1:$E$70,4,FALSE)</f>
        <v>30</v>
      </c>
      <c r="T320" s="377">
        <f>VLOOKUP(Table2[[#This Row],[Course Title]],'TSD-Data'!$A$1:$F$70,6,FALSE)</f>
        <v>8</v>
      </c>
      <c r="U320" s="378">
        <f>VLOOKUP(Table2[[#This Row],[Course Title]],'TSD-Data'!$A$1:$F$70,5,FALSE)</f>
        <v>1</v>
      </c>
      <c r="V320" s="379">
        <v>58</v>
      </c>
      <c r="W320" s="377"/>
      <c r="X320" s="377"/>
      <c r="Y320" s="420"/>
      <c r="Z320" s="420"/>
      <c r="AA320" s="415"/>
      <c r="AB320" s="415"/>
      <c r="AC320" s="421"/>
      <c r="AD320" s="421"/>
      <c r="AE320" s="420">
        <v>355</v>
      </c>
      <c r="AF320" s="415">
        <v>1</v>
      </c>
      <c r="AG320" s="403">
        <v>1</v>
      </c>
      <c r="AH320" s="403">
        <v>1</v>
      </c>
      <c r="AI320" s="403">
        <v>0</v>
      </c>
      <c r="AJ320" s="403">
        <v>8</v>
      </c>
      <c r="AK320" s="415"/>
      <c r="AL320" s="377">
        <v>3</v>
      </c>
      <c r="AM320" s="403" t="str">
        <f>VLOOKUP(Table2[[#This Row],[Course Title]],'TSD-Data'!$A$1:$G$70,7,FALSE)</f>
        <v>N4</v>
      </c>
    </row>
    <row r="321" spans="1:39" s="380" customFormat="1" x14ac:dyDescent="0.25">
      <c r="A321" s="368"/>
      <c r="B321" s="369" t="s">
        <v>40</v>
      </c>
      <c r="C321" s="370" t="str">
        <f>VLOOKUP(Table2[[#This Row],[Course Title]],'TSD-Data'!$A$1:$E$70,2,FALSE)</f>
        <v>A-493-2098</v>
      </c>
      <c r="D321" s="370" t="str">
        <f>VLOOKUP(Table2[[#This Row],[Course Title]],'TSD-Data'!$A$1:$E$70,3,FALSE)</f>
        <v>09WW</v>
      </c>
      <c r="E321" s="369" t="s">
        <v>86</v>
      </c>
      <c r="F321" s="371">
        <v>46160</v>
      </c>
      <c r="G321" s="371">
        <v>46162</v>
      </c>
      <c r="H321" s="371" t="s">
        <v>752</v>
      </c>
      <c r="I321" s="372"/>
      <c r="J321" s="372">
        <v>0.5</v>
      </c>
      <c r="K321" s="381">
        <v>0.375</v>
      </c>
      <c r="L321" s="381">
        <v>0.79166666666666663</v>
      </c>
      <c r="M321" s="381">
        <v>0.75</v>
      </c>
      <c r="N321" s="381">
        <v>0.25</v>
      </c>
      <c r="O321" s="381">
        <v>4.1666666666666664E-2</v>
      </c>
      <c r="P321" s="375" t="s">
        <v>244</v>
      </c>
      <c r="Q321" s="375"/>
      <c r="R321" s="376"/>
      <c r="S321" s="370">
        <f>VLOOKUP(Table2[[#This Row],[Course Title]],'TSD-Data'!$A$1:$E$70,4,FALSE)</f>
        <v>100</v>
      </c>
      <c r="T321" s="377">
        <f>VLOOKUP(Table2[[#This Row],[Course Title]],'TSD-Data'!$A$1:$F$70,6,FALSE)</f>
        <v>16</v>
      </c>
      <c r="U321" s="378">
        <f>VLOOKUP(Table2[[#This Row],[Course Title]],'TSD-Data'!$A$1:$F$70,5,FALSE)</f>
        <v>3</v>
      </c>
      <c r="V321" s="379">
        <v>1882</v>
      </c>
      <c r="W321" s="377"/>
      <c r="X321" s="377"/>
      <c r="Y321" s="378"/>
      <c r="Z321" s="378"/>
      <c r="AA321" s="370"/>
      <c r="AB321" s="370"/>
      <c r="AC321" s="370"/>
      <c r="AD321" s="370"/>
      <c r="AE321" s="378">
        <f ca="1">Table2[[#This Row],[End Date]]+2-TODAY()</f>
        <v>346</v>
      </c>
      <c r="AF321" s="370">
        <f>IF(ISBLANK(Table2[[#This Row],[Roster Received by]]),1,0)</f>
        <v>1</v>
      </c>
      <c r="AG321" s="377">
        <f ca="1">IF(Table2[[#This Row],[Start Date]]&gt;TODAY(),1,)</f>
        <v>1</v>
      </c>
      <c r="AH321" s="377">
        <f>IF(ISBLANK(Table2[[#This Row],[Primary Instructor]]),0,1)</f>
        <v>1</v>
      </c>
      <c r="AI321" s="377">
        <f>IF(ISBLANK(Table2[[#This Row],[Instructor 2]]),0,1)</f>
        <v>0</v>
      </c>
      <c r="AJ321" s="377">
        <f>Table2[[#This Row],[Course Length (Hours)]]/(SUM(Table2[[#This Row],[1]:[2]]))</f>
        <v>16</v>
      </c>
      <c r="AK321" s="370"/>
      <c r="AL321" s="377">
        <v>3</v>
      </c>
      <c r="AM321" s="403" t="str">
        <f>VLOOKUP(Table2[[#This Row],[Course Title]],'TSD-Data'!$A$1:$G$70,7,FALSE)</f>
        <v>N1</v>
      </c>
    </row>
    <row r="322" spans="1:39" s="380" customFormat="1" x14ac:dyDescent="0.25">
      <c r="A322" s="427" t="s">
        <v>722</v>
      </c>
      <c r="B322" s="401" t="s">
        <v>17</v>
      </c>
      <c r="C322" s="370" t="str">
        <f>VLOOKUP(Table2[[#This Row],[Course Title]],'TSD-Data'!$A$1:$E$70,2,FALSE)</f>
        <v>A-493-0012</v>
      </c>
      <c r="D322" s="370">
        <f>VLOOKUP(Table2[[#This Row],[Course Title]],'TSD-Data'!$A$1:$E$70,3,FALSE)</f>
        <v>3682</v>
      </c>
      <c r="E322" s="401" t="s">
        <v>168</v>
      </c>
      <c r="F322" s="426">
        <v>46161</v>
      </c>
      <c r="G322" s="426">
        <v>46165</v>
      </c>
      <c r="H322" s="426" t="s">
        <v>753</v>
      </c>
      <c r="I322" s="372">
        <v>0.33333333333333331</v>
      </c>
      <c r="J322" s="372"/>
      <c r="K322" s="371"/>
      <c r="L322" s="371"/>
      <c r="M322" s="371"/>
      <c r="N322" s="371"/>
      <c r="O322" s="371"/>
      <c r="P322" s="375" t="s">
        <v>241</v>
      </c>
      <c r="Q322" s="375"/>
      <c r="R322" s="376"/>
      <c r="S322" s="370">
        <f>VLOOKUP(Table2[[#This Row],[Course Title]],'TSD-Data'!$A$1:$E$70,4,FALSE)</f>
        <v>40</v>
      </c>
      <c r="T322" s="377">
        <f>VLOOKUP(Table2[[#This Row],[Course Title]],'TSD-Data'!$A$1:$F$70,6,FALSE)</f>
        <v>40</v>
      </c>
      <c r="U322" s="378">
        <f>VLOOKUP(Table2[[#This Row],[Course Title]],'TSD-Data'!$A$1:$F$70,5,FALSE)</f>
        <v>5</v>
      </c>
      <c r="V322" s="377">
        <v>13</v>
      </c>
      <c r="W322" s="377"/>
      <c r="X322" s="377"/>
      <c r="Y322" s="378"/>
      <c r="Z322" s="378"/>
      <c r="AA322" s="370"/>
      <c r="AB322" s="370"/>
      <c r="AC322" s="370"/>
      <c r="AD322" s="370"/>
      <c r="AE322" s="378" t="e">
        <v>#REF!</v>
      </c>
      <c r="AF322" s="370">
        <v>0</v>
      </c>
      <c r="AG322" s="377" t="e">
        <v>#REF!</v>
      </c>
      <c r="AH322" s="377">
        <v>1</v>
      </c>
      <c r="AI322" s="377">
        <v>1</v>
      </c>
      <c r="AJ322" s="377" t="e">
        <v>#VALUE!</v>
      </c>
      <c r="AK322" s="370"/>
      <c r="AL322" s="377">
        <v>3</v>
      </c>
      <c r="AM322" s="403" t="str">
        <f>VLOOKUP(Table2[[#This Row],[Course Title]],'TSD-Data'!$A$1:$G$70,7,FALSE)</f>
        <v>N4</v>
      </c>
    </row>
    <row r="323" spans="1:39" s="380" customFormat="1" x14ac:dyDescent="0.25">
      <c r="A323" s="413" t="s">
        <v>736</v>
      </c>
      <c r="B323" s="414" t="s">
        <v>28</v>
      </c>
      <c r="C323" s="370" t="str">
        <f>VLOOKUP(Table2[[#This Row],[Course Title]],'TSD-Data'!$A$1:$E$70,2,FALSE)</f>
        <v>A-493-0013</v>
      </c>
      <c r="D323" s="370">
        <f>VLOOKUP(Table2[[#This Row],[Course Title]],'TSD-Data'!$A$1:$E$70,3,FALSE)</f>
        <v>3683</v>
      </c>
      <c r="E323" s="414" t="s">
        <v>177</v>
      </c>
      <c r="F323" s="416">
        <v>46161</v>
      </c>
      <c r="G323" s="416">
        <v>46163</v>
      </c>
      <c r="H323" s="426" t="s">
        <v>753</v>
      </c>
      <c r="I323" s="417">
        <v>0.33333333333333331</v>
      </c>
      <c r="J323" s="417"/>
      <c r="K323" s="416"/>
      <c r="L323" s="416"/>
      <c r="M323" s="416"/>
      <c r="N323" s="416"/>
      <c r="O323" s="416"/>
      <c r="P323" s="418" t="s">
        <v>241</v>
      </c>
      <c r="Q323" s="418"/>
      <c r="R323" s="376"/>
      <c r="S323" s="370">
        <f>VLOOKUP(Table2[[#This Row],[Course Title]],'TSD-Data'!$A$1:$E$70,4,FALSE)</f>
        <v>40</v>
      </c>
      <c r="T323" s="377">
        <f>VLOOKUP(Table2[[#This Row],[Course Title]],'TSD-Data'!$A$1:$F$70,6,FALSE)</f>
        <v>24</v>
      </c>
      <c r="U323" s="378">
        <f>VLOOKUP(Table2[[#This Row],[Course Title]],'TSD-Data'!$A$1:$F$70,5,FALSE)</f>
        <v>3</v>
      </c>
      <c r="V323" s="379">
        <v>30</v>
      </c>
      <c r="W323" s="377"/>
      <c r="X323" s="377"/>
      <c r="Y323" s="420"/>
      <c r="Z323" s="420"/>
      <c r="AA323" s="415"/>
      <c r="AB323" s="415"/>
      <c r="AC323" s="421"/>
      <c r="AD323" s="421"/>
      <c r="AE323" s="420">
        <v>358</v>
      </c>
      <c r="AF323" s="415">
        <v>1</v>
      </c>
      <c r="AG323" s="403">
        <v>1</v>
      </c>
      <c r="AH323" s="403">
        <v>1</v>
      </c>
      <c r="AI323" s="403">
        <v>0</v>
      </c>
      <c r="AJ323" s="403">
        <v>24</v>
      </c>
      <c r="AK323" s="415"/>
      <c r="AL323" s="377">
        <v>3</v>
      </c>
      <c r="AM323" s="403" t="str">
        <f>VLOOKUP(Table2[[#This Row],[Course Title]],'TSD-Data'!$A$1:$G$70,7,FALSE)</f>
        <v>N4</v>
      </c>
    </row>
    <row r="324" spans="1:39" s="380" customFormat="1" x14ac:dyDescent="0.25">
      <c r="A324" s="368"/>
      <c r="B324" s="435" t="s">
        <v>50</v>
      </c>
      <c r="C324" s="370" t="str">
        <f>VLOOKUP(Table2[[#This Row],[Course Title]],'TSD-Data'!$A$1:$E$70,2,FALSE)</f>
        <v>A-493-0331</v>
      </c>
      <c r="D324" s="370" t="str">
        <f>VLOOKUP(Table2[[#This Row],[Course Title]],'TSD-Data'!$A$1:$E$70,3,FALSE)</f>
        <v>10UG</v>
      </c>
      <c r="E324" s="369" t="s">
        <v>86</v>
      </c>
      <c r="F324" s="371">
        <v>46161</v>
      </c>
      <c r="G324" s="371">
        <v>46163</v>
      </c>
      <c r="H324" s="371" t="s">
        <v>752</v>
      </c>
      <c r="I324" s="372"/>
      <c r="J324" s="372">
        <v>0.5</v>
      </c>
      <c r="K324" s="381">
        <v>0.375</v>
      </c>
      <c r="L324" s="381">
        <v>0.79166666666666663</v>
      </c>
      <c r="M324" s="381">
        <v>0.75</v>
      </c>
      <c r="N324" s="381">
        <v>0.25</v>
      </c>
      <c r="O324" s="381">
        <v>4.1666666666666664E-2</v>
      </c>
      <c r="P324" s="375" t="s">
        <v>233</v>
      </c>
      <c r="Q324" s="375"/>
      <c r="R324" s="376"/>
      <c r="S324" s="370">
        <f>VLOOKUP(Table2[[#This Row],[Course Title]],'TSD-Data'!$A$1:$E$70,4,FALSE)</f>
        <v>45</v>
      </c>
      <c r="T324" s="377">
        <f>VLOOKUP(Table2[[#This Row],[Course Title]],'TSD-Data'!$A$1:$F$70,6,FALSE)</f>
        <v>24</v>
      </c>
      <c r="U324" s="378">
        <f>VLOOKUP(Table2[[#This Row],[Course Title]],'TSD-Data'!$A$1:$F$70,5,FALSE)</f>
        <v>3</v>
      </c>
      <c r="V324" s="379">
        <v>844</v>
      </c>
      <c r="W324" s="377"/>
      <c r="X324" s="377"/>
      <c r="Y324" s="378"/>
      <c r="Z324" s="378"/>
      <c r="AA324" s="370"/>
      <c r="AB324" s="370"/>
      <c r="AC324" s="370"/>
      <c r="AD324" s="370"/>
      <c r="AE324" s="378">
        <f ca="1">Table2[[#This Row],[End Date]]+2-TODAY()</f>
        <v>347</v>
      </c>
      <c r="AF324" s="370">
        <f>IF(ISBLANK(Table2[[#This Row],[Roster Received by]]),1,0)</f>
        <v>1</v>
      </c>
      <c r="AG324" s="377">
        <f ca="1">IF(Table2[[#This Row],[Start Date]]&gt;TODAY(),1,)</f>
        <v>1</v>
      </c>
      <c r="AH324" s="377">
        <f>IF(ISBLANK(Table2[[#This Row],[Primary Instructor]]),0,1)</f>
        <v>1</v>
      </c>
      <c r="AI324" s="377">
        <f>IF(ISBLANK(Table2[[#This Row],[Instructor 2]]),0,1)</f>
        <v>0</v>
      </c>
      <c r="AJ324" s="377">
        <f>Table2[[#This Row],[Course Length (Hours)]]/(SUM(Table2[[#This Row],[1]:[2]]))</f>
        <v>24</v>
      </c>
      <c r="AK324" s="370"/>
      <c r="AL324" s="377">
        <v>3</v>
      </c>
      <c r="AM324" s="403" t="str">
        <f>VLOOKUP(Table2[[#This Row],[Course Title]],'TSD-Data'!$A$1:$G$70,7,FALSE)</f>
        <v>N3</v>
      </c>
    </row>
    <row r="325" spans="1:39" s="380" customFormat="1" x14ac:dyDescent="0.25">
      <c r="A325" s="368"/>
      <c r="B325" s="369" t="s">
        <v>59</v>
      </c>
      <c r="C325" s="370" t="str">
        <f>VLOOKUP(Table2[[#This Row],[Course Title]],'TSD-Data'!$A$1:$E$70,2,FALSE)</f>
        <v>A-493-0550</v>
      </c>
      <c r="D325" s="370" t="str">
        <f>VLOOKUP(Table2[[#This Row],[Course Title]],'TSD-Data'!$A$1:$E$70,3,FALSE)</f>
        <v>09K5</v>
      </c>
      <c r="E325" s="369" t="s">
        <v>86</v>
      </c>
      <c r="F325" s="371">
        <v>46161</v>
      </c>
      <c r="G325" s="371">
        <v>46164</v>
      </c>
      <c r="H325" s="371" t="s">
        <v>752</v>
      </c>
      <c r="I325" s="372"/>
      <c r="J325" s="372">
        <v>0.5</v>
      </c>
      <c r="K325" s="381">
        <v>0.375</v>
      </c>
      <c r="L325" s="381">
        <v>0.79166666666666663</v>
      </c>
      <c r="M325" s="381">
        <v>0.75</v>
      </c>
      <c r="N325" s="381">
        <v>0.25</v>
      </c>
      <c r="O325" s="381">
        <v>4.1666666666666664E-2</v>
      </c>
      <c r="P325" s="375" t="s">
        <v>272</v>
      </c>
      <c r="Q325" s="375"/>
      <c r="R325" s="376"/>
      <c r="S325" s="370">
        <f>VLOOKUP(Table2[[#This Row],[Course Title]],'TSD-Data'!$A$1:$E$70,4,FALSE)</f>
        <v>45</v>
      </c>
      <c r="T325" s="377">
        <f>VLOOKUP(Table2[[#This Row],[Course Title]],'TSD-Data'!$A$1:$F$70,6,FALSE)</f>
        <v>32</v>
      </c>
      <c r="U325" s="378">
        <f>VLOOKUP(Table2[[#This Row],[Course Title]],'TSD-Data'!$A$1:$F$70,5,FALSE)</f>
        <v>4</v>
      </c>
      <c r="V325" s="379">
        <v>864</v>
      </c>
      <c r="W325" s="377"/>
      <c r="X325" s="377"/>
      <c r="Y325" s="378"/>
      <c r="Z325" s="378"/>
      <c r="AA325" s="370"/>
      <c r="AB325" s="370"/>
      <c r="AC325" s="370"/>
      <c r="AD325" s="370"/>
      <c r="AE325" s="378">
        <f ca="1">Table2[[#This Row],[End Date]]+2-TODAY()</f>
        <v>348</v>
      </c>
      <c r="AF325" s="370">
        <f>IF(ISBLANK(Table2[[#This Row],[Roster Received by]]),1,0)</f>
        <v>1</v>
      </c>
      <c r="AG325" s="377">
        <f ca="1">IF(Table2[[#This Row],[Start Date]]&gt;TODAY(),1,)</f>
        <v>1</v>
      </c>
      <c r="AH325" s="377">
        <f>IF(ISBLANK(Table2[[#This Row],[Primary Instructor]]),0,1)</f>
        <v>1</v>
      </c>
      <c r="AI325" s="377">
        <f>IF(ISBLANK(Table2[[#This Row],[Instructor 2]]),0,1)</f>
        <v>0</v>
      </c>
      <c r="AJ325" s="377">
        <f>Table2[[#This Row],[Course Length (Hours)]]/(SUM(Table2[[#This Row],[1]:[2]]))</f>
        <v>32</v>
      </c>
      <c r="AK325" s="370"/>
      <c r="AL325" s="377">
        <v>3</v>
      </c>
      <c r="AM325" s="403" t="str">
        <f>VLOOKUP(Table2[[#This Row],[Course Title]],'TSD-Data'!$A$1:$G$70,7,FALSE)</f>
        <v>N5</v>
      </c>
    </row>
    <row r="326" spans="1:39" s="380" customFormat="1" x14ac:dyDescent="0.25">
      <c r="A326" s="413"/>
      <c r="B326" s="414" t="s">
        <v>35</v>
      </c>
      <c r="C326" s="370" t="str">
        <f>VLOOKUP(Table2[[#This Row],[Course Title]],'TSD-Data'!$A$1:$E$70,2,FALSE)</f>
        <v>A-493-2501</v>
      </c>
      <c r="D326" s="370" t="str">
        <f>VLOOKUP(Table2[[#This Row],[Course Title]],'TSD-Data'!$A$1:$E$70,3,FALSE)</f>
        <v>05ZE</v>
      </c>
      <c r="E326" s="414" t="s">
        <v>177</v>
      </c>
      <c r="F326" s="416">
        <v>46161</v>
      </c>
      <c r="G326" s="416">
        <v>46161</v>
      </c>
      <c r="H326" s="426" t="s">
        <v>753</v>
      </c>
      <c r="I326" s="417">
        <v>0.33333333333333331</v>
      </c>
      <c r="J326" s="417"/>
      <c r="K326" s="416"/>
      <c r="L326" s="416"/>
      <c r="M326" s="416"/>
      <c r="N326" s="416"/>
      <c r="O326" s="416"/>
      <c r="P326" s="418" t="s">
        <v>241</v>
      </c>
      <c r="Q326" s="418"/>
      <c r="R326" s="376"/>
      <c r="S326" s="370">
        <f>VLOOKUP(Table2[[#This Row],[Course Title]],'TSD-Data'!$A$1:$E$70,4,FALSE)</f>
        <v>30</v>
      </c>
      <c r="T326" s="377">
        <f>VLOOKUP(Table2[[#This Row],[Course Title]],'TSD-Data'!$A$1:$F$70,6,FALSE)</f>
        <v>8</v>
      </c>
      <c r="U326" s="378">
        <f>VLOOKUP(Table2[[#This Row],[Course Title]],'TSD-Data'!$A$1:$F$70,5,FALSE)</f>
        <v>1</v>
      </c>
      <c r="V326" s="379">
        <v>30</v>
      </c>
      <c r="W326" s="377"/>
      <c r="X326" s="377"/>
      <c r="Y326" s="420"/>
      <c r="Z326" s="420"/>
      <c r="AA326" s="415"/>
      <c r="AB326" s="415"/>
      <c r="AC326" s="421"/>
      <c r="AD326" s="421"/>
      <c r="AE326" s="420">
        <v>356</v>
      </c>
      <c r="AF326" s="415">
        <v>1</v>
      </c>
      <c r="AG326" s="403">
        <v>1</v>
      </c>
      <c r="AH326" s="403">
        <v>1</v>
      </c>
      <c r="AI326" s="403">
        <v>0</v>
      </c>
      <c r="AJ326" s="403">
        <v>8</v>
      </c>
      <c r="AK326" s="415"/>
      <c r="AL326" s="377">
        <v>3</v>
      </c>
      <c r="AM326" s="403" t="str">
        <f>VLOOKUP(Table2[[#This Row],[Course Title]],'TSD-Data'!$A$1:$G$70,7,FALSE)</f>
        <v>N4</v>
      </c>
    </row>
    <row r="327" spans="1:39" s="380" customFormat="1" x14ac:dyDescent="0.25">
      <c r="A327" s="413"/>
      <c r="B327" s="414" t="s">
        <v>35</v>
      </c>
      <c r="C327" s="370" t="str">
        <f>VLOOKUP(Table2[[#This Row],[Course Title]],'TSD-Data'!$A$1:$E$70,2,FALSE)</f>
        <v>A-493-2501</v>
      </c>
      <c r="D327" s="370" t="str">
        <f>VLOOKUP(Table2[[#This Row],[Course Title]],'TSD-Data'!$A$1:$E$70,3,FALSE)</f>
        <v>05ZE</v>
      </c>
      <c r="E327" s="414" t="s">
        <v>424</v>
      </c>
      <c r="F327" s="416">
        <v>46162</v>
      </c>
      <c r="G327" s="416">
        <v>46162</v>
      </c>
      <c r="H327" s="426" t="s">
        <v>753</v>
      </c>
      <c r="I327" s="417">
        <v>0.33333333333333331</v>
      </c>
      <c r="J327" s="417"/>
      <c r="K327" s="416"/>
      <c r="L327" s="416"/>
      <c r="M327" s="416"/>
      <c r="N327" s="416"/>
      <c r="O327" s="416"/>
      <c r="P327" s="418" t="s">
        <v>241</v>
      </c>
      <c r="Q327" s="418"/>
      <c r="R327" s="376"/>
      <c r="S327" s="370">
        <f>VLOOKUP(Table2[[#This Row],[Course Title]],'TSD-Data'!$A$1:$E$70,4,FALSE)</f>
        <v>30</v>
      </c>
      <c r="T327" s="377">
        <f>VLOOKUP(Table2[[#This Row],[Course Title]],'TSD-Data'!$A$1:$F$70,6,FALSE)</f>
        <v>8</v>
      </c>
      <c r="U327" s="378">
        <f>VLOOKUP(Table2[[#This Row],[Course Title]],'TSD-Data'!$A$1:$F$70,5,FALSE)</f>
        <v>1</v>
      </c>
      <c r="V327" s="379">
        <v>30</v>
      </c>
      <c r="W327" s="377"/>
      <c r="X327" s="377"/>
      <c r="Y327" s="420"/>
      <c r="Z327" s="420"/>
      <c r="AA327" s="415"/>
      <c r="AB327" s="415"/>
      <c r="AC327" s="421"/>
      <c r="AD327" s="421"/>
      <c r="AE327" s="420">
        <v>357</v>
      </c>
      <c r="AF327" s="415">
        <v>1</v>
      </c>
      <c r="AG327" s="403">
        <v>1</v>
      </c>
      <c r="AH327" s="403">
        <v>1</v>
      </c>
      <c r="AI327" s="403">
        <v>0</v>
      </c>
      <c r="AJ327" s="403">
        <v>8</v>
      </c>
      <c r="AK327" s="415"/>
      <c r="AL327" s="377">
        <v>3</v>
      </c>
      <c r="AM327" s="403" t="str">
        <f>VLOOKUP(Table2[[#This Row],[Course Title]],'TSD-Data'!$A$1:$G$70,7,FALSE)</f>
        <v>N4</v>
      </c>
    </row>
    <row r="328" spans="1:39" s="380" customFormat="1" x14ac:dyDescent="0.25">
      <c r="A328" s="413"/>
      <c r="B328" s="414" t="s">
        <v>35</v>
      </c>
      <c r="C328" s="370" t="str">
        <f>VLOOKUP(Table2[[#This Row],[Course Title]],'TSD-Data'!$A$1:$E$70,2,FALSE)</f>
        <v>A-493-2501</v>
      </c>
      <c r="D328" s="370" t="str">
        <f>VLOOKUP(Table2[[#This Row],[Course Title]],'TSD-Data'!$A$1:$E$70,3,FALSE)</f>
        <v>05ZE</v>
      </c>
      <c r="E328" s="414" t="s">
        <v>324</v>
      </c>
      <c r="F328" s="416">
        <v>46163</v>
      </c>
      <c r="G328" s="416">
        <v>46163</v>
      </c>
      <c r="H328" s="426" t="s">
        <v>753</v>
      </c>
      <c r="I328" s="372">
        <v>0.33333333333333331</v>
      </c>
      <c r="J328" s="417"/>
      <c r="K328" s="416"/>
      <c r="L328" s="416"/>
      <c r="M328" s="416"/>
      <c r="N328" s="416"/>
      <c r="O328" s="416"/>
      <c r="P328" s="418" t="s">
        <v>241</v>
      </c>
      <c r="Q328" s="418"/>
      <c r="R328" s="376"/>
      <c r="S328" s="370">
        <f>VLOOKUP(Table2[[#This Row],[Course Title]],'TSD-Data'!$A$1:$E$70,4,FALSE)</f>
        <v>30</v>
      </c>
      <c r="T328" s="377">
        <f>VLOOKUP(Table2[[#This Row],[Course Title]],'TSD-Data'!$A$1:$F$70,6,FALSE)</f>
        <v>8</v>
      </c>
      <c r="U328" s="378">
        <f>VLOOKUP(Table2[[#This Row],[Course Title]],'TSD-Data'!$A$1:$F$70,5,FALSE)</f>
        <v>1</v>
      </c>
      <c r="V328" s="379">
        <v>30</v>
      </c>
      <c r="W328" s="377"/>
      <c r="X328" s="377"/>
      <c r="Y328" s="420"/>
      <c r="Z328" s="420"/>
      <c r="AA328" s="415"/>
      <c r="AB328" s="415"/>
      <c r="AC328" s="421"/>
      <c r="AD328" s="421"/>
      <c r="AE328" s="420">
        <v>358</v>
      </c>
      <c r="AF328" s="415">
        <v>1</v>
      </c>
      <c r="AG328" s="403">
        <v>1</v>
      </c>
      <c r="AH328" s="403">
        <v>0</v>
      </c>
      <c r="AI328" s="403">
        <v>0</v>
      </c>
      <c r="AJ328" s="403" t="e">
        <v>#DIV/0!</v>
      </c>
      <c r="AK328" s="415"/>
      <c r="AL328" s="377">
        <v>3</v>
      </c>
      <c r="AM328" s="403" t="str">
        <f>VLOOKUP(Table2[[#This Row],[Course Title]],'TSD-Data'!$A$1:$G$70,7,FALSE)</f>
        <v>N4</v>
      </c>
    </row>
    <row r="329" spans="1:39" s="380" customFormat="1" x14ac:dyDescent="0.25">
      <c r="A329" s="413"/>
      <c r="B329" s="414" t="s">
        <v>35</v>
      </c>
      <c r="C329" s="370" t="str">
        <f>VLOOKUP(Table2[[#This Row],[Course Title]],'TSD-Data'!$A$1:$E$70,2,FALSE)</f>
        <v>A-493-2501</v>
      </c>
      <c r="D329" s="370" t="str">
        <f>VLOOKUP(Table2[[#This Row],[Course Title]],'TSD-Data'!$A$1:$E$70,3,FALSE)</f>
        <v>05ZE</v>
      </c>
      <c r="E329" s="414" t="s">
        <v>234</v>
      </c>
      <c r="F329" s="416">
        <v>46164</v>
      </c>
      <c r="G329" s="416">
        <v>46164</v>
      </c>
      <c r="H329" s="426" t="s">
        <v>753</v>
      </c>
      <c r="I329" s="417">
        <v>0.33333333333333331</v>
      </c>
      <c r="J329" s="417"/>
      <c r="K329" s="416"/>
      <c r="L329" s="416"/>
      <c r="M329" s="416"/>
      <c r="N329" s="416"/>
      <c r="O329" s="416"/>
      <c r="P329" s="418" t="s">
        <v>241</v>
      </c>
      <c r="Q329" s="418"/>
      <c r="R329" s="376"/>
      <c r="S329" s="370">
        <f>VLOOKUP(Table2[[#This Row],[Course Title]],'TSD-Data'!$A$1:$E$70,4,FALSE)</f>
        <v>30</v>
      </c>
      <c r="T329" s="377">
        <f>VLOOKUP(Table2[[#This Row],[Course Title]],'TSD-Data'!$A$1:$F$70,6,FALSE)</f>
        <v>8</v>
      </c>
      <c r="U329" s="378">
        <f>VLOOKUP(Table2[[#This Row],[Course Title]],'TSD-Data'!$A$1:$F$70,5,FALSE)</f>
        <v>1</v>
      </c>
      <c r="V329" s="379">
        <v>30</v>
      </c>
      <c r="W329" s="377"/>
      <c r="X329" s="377"/>
      <c r="Y329" s="420"/>
      <c r="Z329" s="420"/>
      <c r="AA329" s="415"/>
      <c r="AB329" s="415"/>
      <c r="AC329" s="421"/>
      <c r="AD329" s="421"/>
      <c r="AE329" s="420">
        <v>359</v>
      </c>
      <c r="AF329" s="415">
        <v>1</v>
      </c>
      <c r="AG329" s="403">
        <v>1</v>
      </c>
      <c r="AH329" s="403">
        <v>1</v>
      </c>
      <c r="AI329" s="403">
        <v>0</v>
      </c>
      <c r="AJ329" s="403">
        <v>8</v>
      </c>
      <c r="AK329" s="415"/>
      <c r="AL329" s="377">
        <v>3</v>
      </c>
      <c r="AM329" s="403" t="str">
        <f>VLOOKUP(Table2[[#This Row],[Course Title]],'TSD-Data'!$A$1:$G$70,7,FALSE)</f>
        <v>N4</v>
      </c>
    </row>
    <row r="330" spans="1:39" s="380" customFormat="1" x14ac:dyDescent="0.25">
      <c r="A330" s="369" t="s">
        <v>484</v>
      </c>
      <c r="B330" s="369" t="s">
        <v>181</v>
      </c>
      <c r="C330" s="370" t="str">
        <f>VLOOKUP(Table2[[#This Row],[Course Title]],'TSD-Data'!$A$1:$E$70,2,FALSE)</f>
        <v>Holiday</v>
      </c>
      <c r="D330" s="370" t="str">
        <f>VLOOKUP(Table2[[#This Row],[Course Title]],'TSD-Data'!$A$1:$E$70,3,FALSE)</f>
        <v>Holiday</v>
      </c>
      <c r="E330" s="369" t="s">
        <v>181</v>
      </c>
      <c r="F330" s="371">
        <v>46167</v>
      </c>
      <c r="G330" s="371">
        <v>46167</v>
      </c>
      <c r="H330" s="371" t="s">
        <v>788</v>
      </c>
      <c r="I330" s="372"/>
      <c r="J330" s="372"/>
      <c r="K330" s="371"/>
      <c r="L330" s="371"/>
      <c r="M330" s="371"/>
      <c r="N330" s="371"/>
      <c r="O330" s="371"/>
      <c r="P330" s="375" t="s">
        <v>322</v>
      </c>
      <c r="Q330" s="375"/>
      <c r="R330" s="398"/>
      <c r="S330" s="370">
        <f>VLOOKUP(Table2[[#This Row],[Course Title]],'TSD-Data'!$A$1:$E$70,4,FALSE)</f>
        <v>0</v>
      </c>
      <c r="T330" s="377">
        <f>VLOOKUP(Table2[[#This Row],[Course Title]],'TSD-Data'!$A$1:$F$70,6,FALSE)</f>
        <v>0</v>
      </c>
      <c r="U330" s="378">
        <f>VLOOKUP(Table2[[#This Row],[Course Title]],'TSD-Data'!$A$1:$F$70,5,FALSE)</f>
        <v>0</v>
      </c>
      <c r="V330" s="379">
        <v>0</v>
      </c>
      <c r="W330" s="377">
        <v>0</v>
      </c>
      <c r="X330" s="377">
        <v>0</v>
      </c>
      <c r="Y330" s="377">
        <v>0</v>
      </c>
      <c r="Z330" s="377">
        <v>0</v>
      </c>
      <c r="AA330" s="377">
        <v>0</v>
      </c>
      <c r="AB330" s="377">
        <v>0</v>
      </c>
      <c r="AC330" s="377">
        <v>0</v>
      </c>
      <c r="AD330" s="377" t="s">
        <v>247</v>
      </c>
      <c r="AE330" s="379">
        <f ca="1">Table2[[#This Row],[End Date]]+2-TODAY()</f>
        <v>351</v>
      </c>
      <c r="AF330" s="377">
        <f>IF(ISBLANK(Table2[[#This Row],[Roster Received by]]),1,0)</f>
        <v>0</v>
      </c>
      <c r="AG330" s="377">
        <f ca="1">IF(Table2[[#This Row],[Start Date]]&gt;TODAY(),1,)</f>
        <v>1</v>
      </c>
      <c r="AH330" s="377">
        <f>IF(ISBLANK(Table2[[#This Row],[Primary Instructor]]),0,1)</f>
        <v>1</v>
      </c>
      <c r="AI330" s="377">
        <f>IF(ISBLANK(Table2[[#This Row],[Instructor 2]]),0,1)</f>
        <v>0</v>
      </c>
      <c r="AJ330" s="377">
        <f>Table2[[#This Row],[Course Length (Hours)]]/(SUM(Table2[[#This Row],[1]:[2]]))</f>
        <v>0</v>
      </c>
      <c r="AK330" s="377"/>
      <c r="AL330" s="377">
        <v>3</v>
      </c>
      <c r="AM330" s="403" t="str">
        <f>VLOOKUP(Table2[[#This Row],[Course Title]],'TSD-Data'!$A$1:$G$70,7,FALSE)</f>
        <v>TSD</v>
      </c>
    </row>
    <row r="331" spans="1:39" s="380" customFormat="1" x14ac:dyDescent="0.25">
      <c r="A331" s="368"/>
      <c r="B331" s="369" t="s">
        <v>59</v>
      </c>
      <c r="C331" s="370" t="str">
        <f>VLOOKUP(Table2[[#This Row],[Course Title]],'TSD-Data'!$A$1:$E$70,2,FALSE)</f>
        <v>A-493-0550</v>
      </c>
      <c r="D331" s="370" t="str">
        <f>VLOOKUP(Table2[[#This Row],[Course Title]],'TSD-Data'!$A$1:$E$70,3,FALSE)</f>
        <v>09K5</v>
      </c>
      <c r="E331" s="369" t="s">
        <v>86</v>
      </c>
      <c r="F331" s="371">
        <v>46168</v>
      </c>
      <c r="G331" s="371">
        <v>46171</v>
      </c>
      <c r="H331" s="371" t="s">
        <v>752</v>
      </c>
      <c r="I331" s="372"/>
      <c r="J331" s="372">
        <v>0.33333333333333331</v>
      </c>
      <c r="K331" s="372">
        <v>0.20833333333333334</v>
      </c>
      <c r="L331" s="372">
        <v>0.625</v>
      </c>
      <c r="M331" s="372">
        <v>0.54166666666666663</v>
      </c>
      <c r="N331" s="372">
        <v>8.3333333333333329E-2</v>
      </c>
      <c r="O331" s="372">
        <v>0.875</v>
      </c>
      <c r="P331" s="375" t="s">
        <v>272</v>
      </c>
      <c r="Q331" s="375"/>
      <c r="R331" s="376"/>
      <c r="S331" s="370">
        <f>VLOOKUP(Table2[[#This Row],[Course Title]],'TSD-Data'!$A$1:$E$70,4,FALSE)</f>
        <v>45</v>
      </c>
      <c r="T331" s="377">
        <f>VLOOKUP(Table2[[#This Row],[Course Title]],'TSD-Data'!$A$1:$F$70,6,FALSE)</f>
        <v>32</v>
      </c>
      <c r="U331" s="378">
        <f>VLOOKUP(Table2[[#This Row],[Course Title]],'TSD-Data'!$A$1:$F$70,5,FALSE)</f>
        <v>4</v>
      </c>
      <c r="V331" s="379">
        <v>455</v>
      </c>
      <c r="W331" s="377"/>
      <c r="X331" s="377"/>
      <c r="Y331" s="378"/>
      <c r="Z331" s="378"/>
      <c r="AA331" s="370"/>
      <c r="AB331" s="370"/>
      <c r="AC331" s="370"/>
      <c r="AD331" s="370"/>
      <c r="AE331" s="378">
        <f ca="1">Table2[[#This Row],[End Date]]+2-TODAY()</f>
        <v>355</v>
      </c>
      <c r="AF331" s="370">
        <f>IF(ISBLANK(Table2[[#This Row],[Roster Received by]]),1,0)</f>
        <v>1</v>
      </c>
      <c r="AG331" s="377">
        <f ca="1">IF(Table2[[#This Row],[Start Date]]&gt;TODAY(),1,)</f>
        <v>1</v>
      </c>
      <c r="AH331" s="377">
        <f>IF(ISBLANK(Table2[[#This Row],[Primary Instructor]]),0,1)</f>
        <v>1</v>
      </c>
      <c r="AI331" s="377">
        <f>IF(ISBLANK(Table2[[#This Row],[Instructor 2]]),0,1)</f>
        <v>0</v>
      </c>
      <c r="AJ331" s="377">
        <f>Table2[[#This Row],[Course Length (Hours)]]/(SUM(Table2[[#This Row],[1]:[2]]))</f>
        <v>32</v>
      </c>
      <c r="AK331" s="370"/>
      <c r="AL331" s="377">
        <v>3</v>
      </c>
      <c r="AM331" s="403" t="str">
        <f>VLOOKUP(Table2[[#This Row],[Course Title]],'TSD-Data'!$A$1:$G$70,7,FALSE)</f>
        <v>N5</v>
      </c>
    </row>
    <row r="332" spans="1:39" s="380" customFormat="1" x14ac:dyDescent="0.25">
      <c r="A332" s="368" t="s">
        <v>572</v>
      </c>
      <c r="B332" s="432" t="s">
        <v>52</v>
      </c>
      <c r="C332" s="370" t="str">
        <f>VLOOKUP(Table2[[#This Row],[Course Title]],'TSD-Data'!$A$1:$E$70,2,FALSE)</f>
        <v>A-493-0085</v>
      </c>
      <c r="D332" s="370">
        <f>VLOOKUP(Table2[[#This Row],[Course Title]],'TSD-Data'!$A$1:$E$70,3,FALSE)</f>
        <v>3555</v>
      </c>
      <c r="E332" s="369" t="s">
        <v>86</v>
      </c>
      <c r="F332" s="371">
        <v>46168</v>
      </c>
      <c r="G332" s="371">
        <v>46171</v>
      </c>
      <c r="H332" s="371" t="s">
        <v>752</v>
      </c>
      <c r="I332" s="372"/>
      <c r="J332" s="372">
        <v>0.5</v>
      </c>
      <c r="K332" s="381">
        <v>0.375</v>
      </c>
      <c r="L332" s="381">
        <v>0.79166666666666663</v>
      </c>
      <c r="M332" s="381">
        <v>0.75</v>
      </c>
      <c r="N332" s="381">
        <v>0.25</v>
      </c>
      <c r="O332" s="381">
        <v>4.1666666666666664E-2</v>
      </c>
      <c r="P332" s="375" t="s">
        <v>293</v>
      </c>
      <c r="Q332" s="375"/>
      <c r="R332" s="376"/>
      <c r="S332" s="370">
        <f>VLOOKUP(Table2[[#This Row],[Course Title]],'TSD-Data'!$A$1:$E$70,4,FALSE)</f>
        <v>45</v>
      </c>
      <c r="T332" s="377">
        <f>VLOOKUP(Table2[[#This Row],[Course Title]],'TSD-Data'!$A$1:$F$70,6,FALSE)</f>
        <v>32</v>
      </c>
      <c r="U332" s="378">
        <f>VLOOKUP(Table2[[#This Row],[Course Title]],'TSD-Data'!$A$1:$F$70,5,FALSE)</f>
        <v>4</v>
      </c>
      <c r="V332" s="379">
        <v>688</v>
      </c>
      <c r="W332" s="377"/>
      <c r="X332" s="377"/>
      <c r="Y332" s="378"/>
      <c r="Z332" s="378"/>
      <c r="AA332" s="370"/>
      <c r="AB332" s="370"/>
      <c r="AC332" s="370"/>
      <c r="AD332" s="370"/>
      <c r="AE332" s="378">
        <f ca="1">Table2[[#This Row],[End Date]]+2-TODAY()</f>
        <v>355</v>
      </c>
      <c r="AF332" s="370">
        <f>IF(ISBLANK(Table2[[#This Row],[Roster Received by]]),1,0)</f>
        <v>1</v>
      </c>
      <c r="AG332" s="377">
        <f ca="1">IF(Table2[[#This Row],[Start Date]]&gt;TODAY(),1,)</f>
        <v>1</v>
      </c>
      <c r="AH332" s="377">
        <f>IF(ISBLANK(Table2[[#This Row],[Primary Instructor]]),0,1)</f>
        <v>1</v>
      </c>
      <c r="AI332" s="377">
        <f>IF(ISBLANK(Table2[[#This Row],[Instructor 2]]),0,1)</f>
        <v>0</v>
      </c>
      <c r="AJ332" s="377">
        <f>Table2[[#This Row],[Course Length (Hours)]]/(SUM(Table2[[#This Row],[1]:[2]]))</f>
        <v>32</v>
      </c>
      <c r="AK332" s="370"/>
      <c r="AL332" s="377">
        <v>3</v>
      </c>
      <c r="AM332" s="403" t="str">
        <f>VLOOKUP(Table2[[#This Row],[Course Title]],'TSD-Data'!$A$1:$G$70,7,FALSE)</f>
        <v>N3</v>
      </c>
    </row>
    <row r="333" spans="1:39" s="380" customFormat="1" x14ac:dyDescent="0.25">
      <c r="A333" s="368"/>
      <c r="B333" s="369" t="s">
        <v>57</v>
      </c>
      <c r="C333" s="370" t="str">
        <f>VLOOKUP(Table2[[#This Row],[Course Title]],'TSD-Data'!$A$1:$E$70,2,FALSE)</f>
        <v>A-493-0099</v>
      </c>
      <c r="D333" s="370" t="str">
        <f>VLOOKUP(Table2[[#This Row],[Course Title]],'TSD-Data'!$A$1:$E$70,3,FALSE)</f>
        <v>12JW</v>
      </c>
      <c r="E333" s="369" t="s">
        <v>86</v>
      </c>
      <c r="F333" s="371">
        <v>46169</v>
      </c>
      <c r="G333" s="371">
        <v>46171</v>
      </c>
      <c r="H333" s="371" t="s">
        <v>752</v>
      </c>
      <c r="I333" s="372"/>
      <c r="J333" s="372">
        <v>0.5</v>
      </c>
      <c r="K333" s="381">
        <v>0.375</v>
      </c>
      <c r="L333" s="381">
        <v>0.79166666666666663</v>
      </c>
      <c r="M333" s="381">
        <v>0.75</v>
      </c>
      <c r="N333" s="381">
        <v>0.25</v>
      </c>
      <c r="O333" s="381">
        <v>4.1666666666666664E-2</v>
      </c>
      <c r="P333" s="375" t="s">
        <v>277</v>
      </c>
      <c r="Q333" s="375"/>
      <c r="R333" s="376"/>
      <c r="S333" s="370">
        <f>VLOOKUP(Table2[[#This Row],[Course Title]],'TSD-Data'!$A$1:$E$70,4,FALSE)</f>
        <v>45</v>
      </c>
      <c r="T333" s="377">
        <f>VLOOKUP(Table2[[#This Row],[Course Title]],'TSD-Data'!$A$1:$F$70,6,FALSE)</f>
        <v>24</v>
      </c>
      <c r="U333" s="378">
        <f>VLOOKUP(Table2[[#This Row],[Course Title]],'TSD-Data'!$A$1:$F$70,5,FALSE)</f>
        <v>3</v>
      </c>
      <c r="V333" s="379">
        <v>1041</v>
      </c>
      <c r="W333" s="377"/>
      <c r="X333" s="377"/>
      <c r="Y333" s="378"/>
      <c r="Z333" s="378"/>
      <c r="AA333" s="370"/>
      <c r="AB333" s="370"/>
      <c r="AC333" s="370"/>
      <c r="AD333" s="370"/>
      <c r="AE333" s="378">
        <f ca="1">Table2[[#This Row],[End Date]]+2-TODAY()</f>
        <v>355</v>
      </c>
      <c r="AF333" s="370">
        <f>IF(ISBLANK(Table2[[#This Row],[Roster Received by]]),1,0)</f>
        <v>1</v>
      </c>
      <c r="AG333" s="377">
        <f ca="1">IF(Table2[[#This Row],[Start Date]]&gt;TODAY(),1,)</f>
        <v>1</v>
      </c>
      <c r="AH333" s="377">
        <f>IF(ISBLANK(Table2[[#This Row],[Primary Instructor]]),0,1)</f>
        <v>1</v>
      </c>
      <c r="AI333" s="377">
        <f>IF(ISBLANK(Table2[[#This Row],[Instructor 2]]),0,1)</f>
        <v>0</v>
      </c>
      <c r="AJ333" s="377">
        <f>Table2[[#This Row],[Course Length (Hours)]]/(SUM(Table2[[#This Row],[1]:[2]]))</f>
        <v>24</v>
      </c>
      <c r="AK333" s="370"/>
      <c r="AL333" s="377">
        <v>3</v>
      </c>
      <c r="AM333" s="403" t="str">
        <f>VLOOKUP(Table2[[#This Row],[Course Title]],'TSD-Data'!$A$1:$G$70,7,FALSE)</f>
        <v>N5</v>
      </c>
    </row>
    <row r="334" spans="1:39" s="380" customFormat="1" x14ac:dyDescent="0.25">
      <c r="A334" s="413"/>
      <c r="B334" s="369" t="s">
        <v>29</v>
      </c>
      <c r="C334" s="370" t="str">
        <f>VLOOKUP(Table2[[#This Row],[Course Title]],'TSD-Data'!$A$1:$E$70,2,FALSE)</f>
        <v>A-493-0077</v>
      </c>
      <c r="D334" s="370" t="str">
        <f>VLOOKUP(Table2[[#This Row],[Course Title]],'TSD-Data'!$A$1:$E$70,3,FALSE)</f>
        <v>0381</v>
      </c>
      <c r="E334" s="414" t="s">
        <v>749</v>
      </c>
      <c r="F334" s="416">
        <v>46169</v>
      </c>
      <c r="G334" s="416">
        <v>46171</v>
      </c>
      <c r="H334" s="426" t="s">
        <v>753</v>
      </c>
      <c r="I334" s="417">
        <v>0.33333333333333331</v>
      </c>
      <c r="J334" s="487"/>
      <c r="K334" s="488"/>
      <c r="L334" s="488"/>
      <c r="M334" s="488"/>
      <c r="N334" s="488"/>
      <c r="O334" s="488"/>
      <c r="P334" s="418" t="s">
        <v>241</v>
      </c>
      <c r="Q334" s="418"/>
      <c r="R334" s="376"/>
      <c r="S334" s="370">
        <f>VLOOKUP(Table2[[#This Row],[Course Title]],'TSD-Data'!$A$1:$E$70,4,FALSE)</f>
        <v>25</v>
      </c>
      <c r="T334" s="377">
        <f>VLOOKUP(Table2[[#This Row],[Course Title]],'TSD-Data'!$A$1:$F$70,6,FALSE)</f>
        <v>24</v>
      </c>
      <c r="U334" s="378">
        <f>VLOOKUP(Table2[[#This Row],[Course Title]],'TSD-Data'!$A$1:$F$70,5,FALSE)</f>
        <v>3</v>
      </c>
      <c r="V334" s="379">
        <v>21</v>
      </c>
      <c r="W334" s="377"/>
      <c r="X334" s="377"/>
      <c r="Y334" s="420"/>
      <c r="Z334" s="420"/>
      <c r="AA334" s="415"/>
      <c r="AB334" s="415"/>
      <c r="AC334" s="421"/>
      <c r="AD334" s="421"/>
      <c r="AE334" s="420">
        <v>366</v>
      </c>
      <c r="AF334" s="415">
        <v>1</v>
      </c>
      <c r="AG334" s="403">
        <v>1</v>
      </c>
      <c r="AH334" s="403">
        <v>1</v>
      </c>
      <c r="AI334" s="403">
        <v>0</v>
      </c>
      <c r="AJ334" s="403">
        <v>24</v>
      </c>
      <c r="AK334" s="415"/>
      <c r="AL334" s="377">
        <v>3</v>
      </c>
      <c r="AM334" s="403" t="str">
        <f>VLOOKUP(Table2[[#This Row],[Course Title]],'TSD-Data'!$A$1:$G$70,7,FALSE)</f>
        <v>N4</v>
      </c>
    </row>
    <row r="335" spans="1:39" s="380" customFormat="1" x14ac:dyDescent="0.25">
      <c r="A335" s="368"/>
      <c r="B335" s="432" t="s">
        <v>55</v>
      </c>
      <c r="C335" s="370" t="str">
        <f>VLOOKUP(Table2[[#This Row],[Course Title]],'TSD-Data'!$A$1:$E$70,2,FALSE)</f>
        <v>A-493-0103</v>
      </c>
      <c r="D335" s="370" t="str">
        <f>VLOOKUP(Table2[[#This Row],[Course Title]],'TSD-Data'!$A$1:$E$70,3,FALSE)</f>
        <v>12JY</v>
      </c>
      <c r="E335" s="369" t="s">
        <v>169</v>
      </c>
      <c r="F335" s="371">
        <v>46174</v>
      </c>
      <c r="G335" s="371">
        <v>46178</v>
      </c>
      <c r="H335" s="371" t="s">
        <v>752</v>
      </c>
      <c r="I335" s="372">
        <v>0.33333333333333331</v>
      </c>
      <c r="J335" s="374"/>
      <c r="K335" s="382"/>
      <c r="L335" s="382"/>
      <c r="M335" s="382"/>
      <c r="N335" s="382"/>
      <c r="O335" s="382"/>
      <c r="P335" s="375" t="s">
        <v>289</v>
      </c>
      <c r="Q335" s="375"/>
      <c r="R335" s="376"/>
      <c r="S335" s="370">
        <f>VLOOKUP(Table2[[#This Row],[Course Title]],'TSD-Data'!$A$1:$E$70,4,FALSE)</f>
        <v>25</v>
      </c>
      <c r="T335" s="377">
        <f>VLOOKUP(Table2[[#This Row],[Course Title]],'TSD-Data'!$A$1:$F$70,6,FALSE)</f>
        <v>40</v>
      </c>
      <c r="U335" s="378">
        <f>VLOOKUP(Table2[[#This Row],[Course Title]],'TSD-Data'!$A$1:$F$70,5,FALSE)</f>
        <v>5</v>
      </c>
      <c r="V335" s="379">
        <v>512</v>
      </c>
      <c r="W335" s="377"/>
      <c r="X335" s="377"/>
      <c r="Y335" s="378"/>
      <c r="Z335" s="378"/>
      <c r="AA335" s="370"/>
      <c r="AB335" s="370"/>
      <c r="AC335" s="370"/>
      <c r="AD335" s="370"/>
      <c r="AE335" s="378">
        <f ca="1">Table2[[#This Row],[End Date]]+2-TODAY()</f>
        <v>362</v>
      </c>
      <c r="AF335" s="370">
        <f>IF(ISBLANK(Table2[[#This Row],[Roster Received by]]),1,0)</f>
        <v>1</v>
      </c>
      <c r="AG335" s="377">
        <f ca="1">IF(Table2[[#This Row],[Start Date]]&gt;TODAY(),1,)</f>
        <v>1</v>
      </c>
      <c r="AH335" s="377">
        <f>IF(ISBLANK(Table2[[#This Row],[Primary Instructor]]),0,1)</f>
        <v>1</v>
      </c>
      <c r="AI335" s="377">
        <f>IF(ISBLANK(Table2[[#This Row],[Instructor 2]]),0,1)</f>
        <v>0</v>
      </c>
      <c r="AJ335" s="377">
        <f>Table2[[#This Row],[Course Length (Hours)]]/(SUM(Table2[[#This Row],[1]:[2]]))</f>
        <v>40</v>
      </c>
      <c r="AK335" s="370"/>
      <c r="AL335" s="377">
        <v>3</v>
      </c>
      <c r="AM335" s="403" t="str">
        <f>VLOOKUP(Table2[[#This Row],[Course Title]],'TSD-Data'!$A$1:$G$70,7,FALSE)</f>
        <v>N5</v>
      </c>
    </row>
    <row r="336" spans="1:39" s="380" customFormat="1" x14ac:dyDescent="0.25">
      <c r="A336" s="368"/>
      <c r="B336" s="432" t="s">
        <v>55</v>
      </c>
      <c r="C336" s="370" t="str">
        <f>VLOOKUP(Table2[[#This Row],[Course Title]],'TSD-Data'!$A$1:$E$70,2,FALSE)</f>
        <v>A-493-0103</v>
      </c>
      <c r="D336" s="370" t="str">
        <f>VLOOKUP(Table2[[#This Row],[Course Title]],'TSD-Data'!$A$1:$E$70,3,FALSE)</f>
        <v>12JY</v>
      </c>
      <c r="E336" s="369" t="s">
        <v>173</v>
      </c>
      <c r="F336" s="371">
        <v>46174</v>
      </c>
      <c r="G336" s="371">
        <v>46178</v>
      </c>
      <c r="H336" s="371" t="s">
        <v>752</v>
      </c>
      <c r="I336" s="372">
        <v>0.33333333333333331</v>
      </c>
      <c r="J336" s="372"/>
      <c r="K336" s="437"/>
      <c r="L336" s="371"/>
      <c r="M336" s="371"/>
      <c r="N336" s="371"/>
      <c r="O336" s="371"/>
      <c r="P336" s="375" t="s">
        <v>289</v>
      </c>
      <c r="Q336" s="375"/>
      <c r="R336" s="376"/>
      <c r="S336" s="370">
        <f>VLOOKUP(Table2[[#This Row],[Course Title]],'TSD-Data'!$A$1:$E$70,4,FALSE)</f>
        <v>25</v>
      </c>
      <c r="T336" s="377">
        <f>VLOOKUP(Table2[[#This Row],[Course Title]],'TSD-Data'!$A$1:$F$70,6,FALSE)</f>
        <v>40</v>
      </c>
      <c r="U336" s="378">
        <f>VLOOKUP(Table2[[#This Row],[Course Title]],'TSD-Data'!$A$1:$F$70,5,FALSE)</f>
        <v>5</v>
      </c>
      <c r="V336" s="379">
        <v>39</v>
      </c>
      <c r="W336" s="377"/>
      <c r="X336" s="377"/>
      <c r="Y336" s="378"/>
      <c r="Z336" s="378"/>
      <c r="AA336" s="370"/>
      <c r="AB336" s="370"/>
      <c r="AC336" s="370"/>
      <c r="AD336" s="370"/>
      <c r="AE336" s="378">
        <f ca="1">Table2[[#This Row],[End Date]]+2-TODAY()</f>
        <v>362</v>
      </c>
      <c r="AF336" s="370">
        <f>IF(ISBLANK(Table2[[#This Row],[Roster Received by]]),1,0)</f>
        <v>1</v>
      </c>
      <c r="AG336" s="377">
        <f ca="1">IF(Table2[[#This Row],[Start Date]]&gt;TODAY(),1,)</f>
        <v>1</v>
      </c>
      <c r="AH336" s="377">
        <f>IF(ISBLANK(Table2[[#This Row],[Primary Instructor]]),0,1)</f>
        <v>1</v>
      </c>
      <c r="AI336" s="377">
        <f>IF(ISBLANK(Table2[[#This Row],[Instructor 2]]),0,1)</f>
        <v>0</v>
      </c>
      <c r="AJ336" s="377">
        <f>Table2[[#This Row],[Course Length (Hours)]]/(SUM(Table2[[#This Row],[1]:[2]]))</f>
        <v>40</v>
      </c>
      <c r="AK336" s="370"/>
      <c r="AL336" s="377">
        <v>3</v>
      </c>
      <c r="AM336" s="403" t="str">
        <f>VLOOKUP(Table2[[#This Row],[Course Title]],'TSD-Data'!$A$1:$G$70,7,FALSE)</f>
        <v>N5</v>
      </c>
    </row>
    <row r="337" spans="1:39" s="380" customFormat="1" x14ac:dyDescent="0.25">
      <c r="A337" s="368"/>
      <c r="B337" s="369" t="s">
        <v>38</v>
      </c>
      <c r="C337" s="370" t="str">
        <f>VLOOKUP(Table2[[#This Row],[Course Title]],'TSD-Data'!$A$1:$E$70,2,FALSE)</f>
        <v>A-493-0061</v>
      </c>
      <c r="D337" s="370" t="str">
        <f>VLOOKUP(Table2[[#This Row],[Course Title]],'TSD-Data'!$A$1:$E$70,3,FALSE)</f>
        <v>288E</v>
      </c>
      <c r="E337" s="369" t="s">
        <v>86</v>
      </c>
      <c r="F337" s="371">
        <v>46174</v>
      </c>
      <c r="G337" s="371">
        <v>46177</v>
      </c>
      <c r="H337" s="371" t="s">
        <v>752</v>
      </c>
      <c r="I337" s="372"/>
      <c r="J337" s="374">
        <v>0.79166666666666663</v>
      </c>
      <c r="K337" s="373">
        <v>0.66666666666666663</v>
      </c>
      <c r="L337" s="373">
        <v>8.3333333333333329E-2</v>
      </c>
      <c r="M337" s="373">
        <v>0</v>
      </c>
      <c r="N337" s="373">
        <v>0.54166666666666663</v>
      </c>
      <c r="O337" s="373">
        <v>0.33333333333333331</v>
      </c>
      <c r="P337" s="375" t="s">
        <v>274</v>
      </c>
      <c r="Q337" s="375"/>
      <c r="R337" s="376"/>
      <c r="S337" s="370">
        <f>VLOOKUP(Table2[[#This Row],[Course Title]],'TSD-Data'!$A$1:$E$70,4,FALSE)</f>
        <v>45</v>
      </c>
      <c r="T337" s="377">
        <f>VLOOKUP(Table2[[#This Row],[Course Title]],'TSD-Data'!$A$1:$F$70,6,FALSE)</f>
        <v>30</v>
      </c>
      <c r="U337" s="378">
        <f>VLOOKUP(Table2[[#This Row],[Course Title]],'TSD-Data'!$A$1:$F$70,5,FALSE)</f>
        <v>4</v>
      </c>
      <c r="V337" s="379">
        <v>187</v>
      </c>
      <c r="W337" s="377"/>
      <c r="X337" s="377"/>
      <c r="Y337" s="378"/>
      <c r="Z337" s="378"/>
      <c r="AA337" s="370"/>
      <c r="AB337" s="370"/>
      <c r="AC337" s="370"/>
      <c r="AD337" s="370"/>
      <c r="AE337" s="378">
        <f ca="1">Table2[[#This Row],[End Date]]+2-TODAY()</f>
        <v>361</v>
      </c>
      <c r="AF337" s="370">
        <f>IF(ISBLANK(Table2[[#This Row],[Roster Received by]]),1,0)</f>
        <v>1</v>
      </c>
      <c r="AG337" s="377">
        <f ca="1">IF(Table2[[#This Row],[Start Date]]&gt;TODAY(),1,)</f>
        <v>1</v>
      </c>
      <c r="AH337" s="377">
        <f>IF(ISBLANK(Table2[[#This Row],[Primary Instructor]]),0,1)</f>
        <v>1</v>
      </c>
      <c r="AI337" s="377">
        <f>IF(ISBLANK(Table2[[#This Row],[Instructor 2]]),0,1)</f>
        <v>0</v>
      </c>
      <c r="AJ337" s="377">
        <f>Table2[[#This Row],[Course Length (Hours)]]/(SUM(Table2[[#This Row],[1]:[2]]))</f>
        <v>30</v>
      </c>
      <c r="AK337" s="370"/>
      <c r="AL337" s="377">
        <v>3</v>
      </c>
      <c r="AM337" s="403" t="str">
        <f>VLOOKUP(Table2[[#This Row],[Course Title]],'TSD-Data'!$A$1:$G$70,7,FALSE)</f>
        <v>N5</v>
      </c>
    </row>
    <row r="338" spans="1:39" s="380" customFormat="1" x14ac:dyDescent="0.25">
      <c r="A338" s="368"/>
      <c r="B338" s="369" t="s">
        <v>120</v>
      </c>
      <c r="C338" s="370" t="str">
        <f>VLOOKUP(Table2[[#This Row],[Course Title]],'TSD-Data'!$A$1:$E$70,2,FALSE)</f>
        <v>A-322-2604</v>
      </c>
      <c r="D338" s="370" t="str">
        <f>VLOOKUP(Table2[[#This Row],[Course Title]],'TSD-Data'!$A$1:$E$70,3,FALSE)</f>
        <v>10ZZ</v>
      </c>
      <c r="E338" s="369" t="s">
        <v>86</v>
      </c>
      <c r="F338" s="371">
        <v>46174</v>
      </c>
      <c r="G338" s="371">
        <v>46176</v>
      </c>
      <c r="H338" s="371" t="s">
        <v>752</v>
      </c>
      <c r="I338" s="372"/>
      <c r="J338" s="399">
        <v>0.5</v>
      </c>
      <c r="K338" s="381">
        <v>0.375</v>
      </c>
      <c r="L338" s="381">
        <v>0.79166666666666663</v>
      </c>
      <c r="M338" s="381">
        <v>0.75</v>
      </c>
      <c r="N338" s="381">
        <v>0.25</v>
      </c>
      <c r="O338" s="381">
        <v>4.1666666666666664E-2</v>
      </c>
      <c r="P338" s="375" t="s">
        <v>252</v>
      </c>
      <c r="Q338" s="375"/>
      <c r="R338" s="376"/>
      <c r="S338" s="370">
        <f>VLOOKUP(Table2[[#This Row],[Course Title]],'TSD-Data'!$A$1:$E$70,4,FALSE)</f>
        <v>45</v>
      </c>
      <c r="T338" s="377">
        <f>VLOOKUP(Table2[[#This Row],[Course Title]],'TSD-Data'!$A$1:$F$70,6,FALSE)</f>
        <v>24</v>
      </c>
      <c r="U338" s="378">
        <f>VLOOKUP(Table2[[#This Row],[Course Title]],'TSD-Data'!$A$1:$F$70,5,FALSE)</f>
        <v>3</v>
      </c>
      <c r="V338" s="379">
        <v>621</v>
      </c>
      <c r="W338" s="377"/>
      <c r="X338" s="377"/>
      <c r="Y338" s="378"/>
      <c r="Z338" s="378"/>
      <c r="AA338" s="370"/>
      <c r="AB338" s="370"/>
      <c r="AC338" s="370"/>
      <c r="AD338" s="370"/>
      <c r="AE338" s="378">
        <f ca="1">Table2[[#This Row],[End Date]]+2-TODAY()</f>
        <v>360</v>
      </c>
      <c r="AF338" s="370">
        <f>IF(ISBLANK(Table2[[#This Row],[Roster Received by]]),1,0)</f>
        <v>1</v>
      </c>
      <c r="AG338" s="377">
        <f ca="1">IF(Table2[[#This Row],[Start Date]]&gt;TODAY(),1,)</f>
        <v>1</v>
      </c>
      <c r="AH338" s="377">
        <f>IF(ISBLANK(Table2[[#This Row],[Primary Instructor]]),0,1)</f>
        <v>1</v>
      </c>
      <c r="AI338" s="377">
        <f>IF(ISBLANK(Table2[[#This Row],[Instructor 2]]),0,1)</f>
        <v>0</v>
      </c>
      <c r="AJ338" s="377">
        <f>Table2[[#This Row],[Course Length (Hours)]]/(SUM(Table2[[#This Row],[1]:[2]]))</f>
        <v>24</v>
      </c>
      <c r="AK338" s="370"/>
      <c r="AL338" s="377">
        <v>3</v>
      </c>
      <c r="AM338" s="403" t="str">
        <f>VLOOKUP(Table2[[#This Row],[Course Title]],'TSD-Data'!$A$1:$G$70,7,FALSE)</f>
        <v>N3</v>
      </c>
    </row>
    <row r="339" spans="1:39" s="380" customFormat="1" x14ac:dyDescent="0.25">
      <c r="A339" s="368"/>
      <c r="B339" s="369" t="s">
        <v>51</v>
      </c>
      <c r="C339" s="370" t="str">
        <f>VLOOKUP(Table2[[#This Row],[Course Title]],'TSD-Data'!$A$1:$E$70,2,FALSE)</f>
        <v>A-493-0335</v>
      </c>
      <c r="D339" s="370" t="str">
        <f>VLOOKUP(Table2[[#This Row],[Course Title]],'TSD-Data'!$A$1:$E$70,3,FALSE)</f>
        <v>09ND</v>
      </c>
      <c r="E339" s="369" t="s">
        <v>86</v>
      </c>
      <c r="F339" s="371">
        <v>46174</v>
      </c>
      <c r="G339" s="371">
        <v>46177</v>
      </c>
      <c r="H339" s="371" t="s">
        <v>752</v>
      </c>
      <c r="I339" s="372"/>
      <c r="J339" s="372">
        <v>0.79166666666666663</v>
      </c>
      <c r="K339" s="381">
        <v>0.66666666666666663</v>
      </c>
      <c r="L339" s="381">
        <v>8.3333333333333329E-2</v>
      </c>
      <c r="M339" s="381">
        <v>0</v>
      </c>
      <c r="N339" s="381">
        <v>0.54166666666666663</v>
      </c>
      <c r="O339" s="381">
        <v>0.33333333333333331</v>
      </c>
      <c r="P339" s="375" t="s">
        <v>297</v>
      </c>
      <c r="Q339" s="375"/>
      <c r="R339" s="376"/>
      <c r="S339" s="370">
        <f>VLOOKUP(Table2[[#This Row],[Course Title]],'TSD-Data'!$A$1:$E$70,4,FALSE)</f>
        <v>45</v>
      </c>
      <c r="T339" s="377">
        <f>VLOOKUP(Table2[[#This Row],[Course Title]],'TSD-Data'!$A$1:$F$70,6,FALSE)</f>
        <v>32</v>
      </c>
      <c r="U339" s="378">
        <f>VLOOKUP(Table2[[#This Row],[Course Title]],'TSD-Data'!$A$1:$F$70,5,FALSE)</f>
        <v>4</v>
      </c>
      <c r="V339" s="379">
        <v>119</v>
      </c>
      <c r="W339" s="377"/>
      <c r="X339" s="377"/>
      <c r="Y339" s="378"/>
      <c r="Z339" s="378"/>
      <c r="AA339" s="370"/>
      <c r="AB339" s="370"/>
      <c r="AC339" s="370"/>
      <c r="AD339" s="370"/>
      <c r="AE339" s="378">
        <f ca="1">Table2[[#This Row],[End Date]]+2-TODAY()</f>
        <v>361</v>
      </c>
      <c r="AF339" s="370">
        <f>IF(ISBLANK(Table2[[#This Row],[Roster Received by]]),1,0)</f>
        <v>1</v>
      </c>
      <c r="AG339" s="377">
        <f ca="1">IF(Table2[[#This Row],[Start Date]]&gt;TODAY(),1,)</f>
        <v>1</v>
      </c>
      <c r="AH339" s="377">
        <f>IF(ISBLANK(Table2[[#This Row],[Primary Instructor]]),0,1)</f>
        <v>1</v>
      </c>
      <c r="AI339" s="377">
        <f>IF(ISBLANK(Table2[[#This Row],[Instructor 2]]),0,1)</f>
        <v>0</v>
      </c>
      <c r="AJ339" s="377">
        <f>Table2[[#This Row],[Course Length (Hours)]]/(SUM(Table2[[#This Row],[1]:[2]]))</f>
        <v>32</v>
      </c>
      <c r="AK339" s="370"/>
      <c r="AL339" s="377">
        <v>3</v>
      </c>
      <c r="AM339" s="403" t="str">
        <f>VLOOKUP(Table2[[#This Row],[Course Title]],'TSD-Data'!$A$1:$G$70,7,FALSE)</f>
        <v>N3</v>
      </c>
    </row>
    <row r="340" spans="1:39" s="380" customFormat="1" x14ac:dyDescent="0.25">
      <c r="A340" s="368"/>
      <c r="B340" s="369" t="s">
        <v>61</v>
      </c>
      <c r="C340" s="370" t="str">
        <f>VLOOKUP(Table2[[#This Row],[Course Title]],'TSD-Data'!$A$1:$E$70,2,FALSE)</f>
        <v>A-493-0078</v>
      </c>
      <c r="D340" s="370">
        <f>VLOOKUP(Table2[[#This Row],[Course Title]],'TSD-Data'!$A$1:$E$70,3,FALSE)</f>
        <v>1228</v>
      </c>
      <c r="E340" s="369" t="s">
        <v>86</v>
      </c>
      <c r="F340" s="371">
        <v>46174</v>
      </c>
      <c r="G340" s="371">
        <v>46177</v>
      </c>
      <c r="H340" s="371" t="s">
        <v>752</v>
      </c>
      <c r="I340" s="372"/>
      <c r="J340" s="374">
        <v>0.33333333333333331</v>
      </c>
      <c r="K340" s="374">
        <v>0.20833333333333334</v>
      </c>
      <c r="L340" s="374">
        <v>0.625</v>
      </c>
      <c r="M340" s="374">
        <v>0.54166666666666663</v>
      </c>
      <c r="N340" s="374">
        <v>8.3333333333333329E-2</v>
      </c>
      <c r="O340" s="374">
        <v>0.875</v>
      </c>
      <c r="P340" s="375" t="s">
        <v>256</v>
      </c>
      <c r="Q340" s="375"/>
      <c r="R340" s="376"/>
      <c r="S340" s="370">
        <f>VLOOKUP(Table2[[#This Row],[Course Title]],'TSD-Data'!$A$1:$E$70,4,FALSE)</f>
        <v>45</v>
      </c>
      <c r="T340" s="377">
        <f>VLOOKUP(Table2[[#This Row],[Course Title]],'TSD-Data'!$A$1:$F$70,6,FALSE)</f>
        <v>32</v>
      </c>
      <c r="U340" s="378">
        <f>VLOOKUP(Table2[[#This Row],[Course Title]],'TSD-Data'!$A$1:$F$70,5,FALSE)</f>
        <v>4</v>
      </c>
      <c r="V340" s="379">
        <v>454</v>
      </c>
      <c r="W340" s="377"/>
      <c r="X340" s="377"/>
      <c r="Y340" s="378"/>
      <c r="Z340" s="378"/>
      <c r="AA340" s="370"/>
      <c r="AB340" s="370"/>
      <c r="AC340" s="370"/>
      <c r="AD340" s="370"/>
      <c r="AE340" s="378">
        <f ca="1">Table2[[#This Row],[End Date]]+2-TODAY()</f>
        <v>361</v>
      </c>
      <c r="AF340" s="370">
        <f>IF(ISBLANK(Table2[[#This Row],[Roster Received by]]),1,0)</f>
        <v>1</v>
      </c>
      <c r="AG340" s="377">
        <f ca="1">IF(Table2[[#This Row],[Start Date]]&gt;TODAY(),1,)</f>
        <v>1</v>
      </c>
      <c r="AH340" s="377">
        <f>IF(ISBLANK(Table2[[#This Row],[Primary Instructor]]),0,1)</f>
        <v>1</v>
      </c>
      <c r="AI340" s="377">
        <f>IF(ISBLANK(Table2[[#This Row],[Instructor 2]]),0,1)</f>
        <v>0</v>
      </c>
      <c r="AJ340" s="377">
        <f>Table2[[#This Row],[Course Length (Hours)]]/(SUM(Table2[[#This Row],[1]:[2]]))</f>
        <v>32</v>
      </c>
      <c r="AK340" s="370"/>
      <c r="AL340" s="377">
        <v>3</v>
      </c>
      <c r="AM340" s="403" t="str">
        <f>VLOOKUP(Table2[[#This Row],[Course Title]],'TSD-Data'!$A$1:$G$70,7,FALSE)</f>
        <v>N5</v>
      </c>
    </row>
    <row r="341" spans="1:39" s="380" customFormat="1" x14ac:dyDescent="0.25">
      <c r="A341" s="368"/>
      <c r="B341" s="369" t="s">
        <v>40</v>
      </c>
      <c r="C341" s="370" t="str">
        <f>VLOOKUP(Table2[[#This Row],[Course Title]],'TSD-Data'!$A$1:$E$70,2,FALSE)</f>
        <v>A-493-2098</v>
      </c>
      <c r="D341" s="370" t="str">
        <f>VLOOKUP(Table2[[#This Row],[Course Title]],'TSD-Data'!$A$1:$E$70,3,FALSE)</f>
        <v>09WW</v>
      </c>
      <c r="E341" s="369" t="s">
        <v>86</v>
      </c>
      <c r="F341" s="371">
        <v>46174</v>
      </c>
      <c r="G341" s="371">
        <v>46176</v>
      </c>
      <c r="H341" s="371" t="s">
        <v>752</v>
      </c>
      <c r="I341" s="372"/>
      <c r="J341" s="372">
        <v>0.5</v>
      </c>
      <c r="K341" s="381">
        <v>0.375</v>
      </c>
      <c r="L341" s="381">
        <v>0.79166666666666663</v>
      </c>
      <c r="M341" s="381">
        <v>0.75</v>
      </c>
      <c r="N341" s="381">
        <v>0.25</v>
      </c>
      <c r="O341" s="381">
        <v>4.1666666666666664E-2</v>
      </c>
      <c r="P341" s="375" t="s">
        <v>244</v>
      </c>
      <c r="Q341" s="375"/>
      <c r="R341" s="376"/>
      <c r="S341" s="370">
        <f>VLOOKUP(Table2[[#This Row],[Course Title]],'TSD-Data'!$A$1:$E$70,4,FALSE)</f>
        <v>100</v>
      </c>
      <c r="T341" s="377">
        <f>VLOOKUP(Table2[[#This Row],[Course Title]],'TSD-Data'!$A$1:$F$70,6,FALSE)</f>
        <v>16</v>
      </c>
      <c r="U341" s="378">
        <f>VLOOKUP(Table2[[#This Row],[Course Title]],'TSD-Data'!$A$1:$F$70,5,FALSE)</f>
        <v>3</v>
      </c>
      <c r="V341" s="379">
        <v>1882</v>
      </c>
      <c r="W341" s="377"/>
      <c r="X341" s="377"/>
      <c r="Y341" s="378"/>
      <c r="Z341" s="378"/>
      <c r="AA341" s="370"/>
      <c r="AB341" s="370"/>
      <c r="AC341" s="370"/>
      <c r="AD341" s="370"/>
      <c r="AE341" s="378">
        <f ca="1">Table2[[#This Row],[End Date]]+2-TODAY()</f>
        <v>360</v>
      </c>
      <c r="AF341" s="370">
        <f>IF(ISBLANK(Table2[[#This Row],[Roster Received by]]),1,0)</f>
        <v>1</v>
      </c>
      <c r="AG341" s="377">
        <f ca="1">IF(Table2[[#This Row],[Start Date]]&gt;TODAY(),1,)</f>
        <v>1</v>
      </c>
      <c r="AH341" s="377">
        <f>IF(ISBLANK(Table2[[#This Row],[Primary Instructor]]),0,1)</f>
        <v>1</v>
      </c>
      <c r="AI341" s="377">
        <f>IF(ISBLANK(Table2[[#This Row],[Instructor 2]]),0,1)</f>
        <v>0</v>
      </c>
      <c r="AJ341" s="377">
        <f>Table2[[#This Row],[Course Length (Hours)]]/(SUM(Table2[[#This Row],[1]:[2]]))</f>
        <v>16</v>
      </c>
      <c r="AK341" s="370"/>
      <c r="AL341" s="377">
        <v>3</v>
      </c>
      <c r="AM341" s="403" t="str">
        <f>VLOOKUP(Table2[[#This Row],[Course Title]],'TSD-Data'!$A$1:$G$70,7,FALSE)</f>
        <v>N1</v>
      </c>
    </row>
    <row r="342" spans="1:39" s="380" customFormat="1" x14ac:dyDescent="0.25">
      <c r="A342" s="368"/>
      <c r="B342" s="432" t="s">
        <v>54</v>
      </c>
      <c r="C342" s="370" t="str">
        <f>VLOOKUP(Table2[[#This Row],[Course Title]],'TSD-Data'!$A$1:$E$70,2,FALSE)</f>
        <v>F-4J-0023</v>
      </c>
      <c r="D342" s="370" t="str">
        <f>VLOOKUP(Table2[[#This Row],[Course Title]],'TSD-Data'!$A$1:$E$70,3,FALSE)</f>
        <v>11A2</v>
      </c>
      <c r="E342" s="369" t="s">
        <v>86</v>
      </c>
      <c r="F342" s="371">
        <v>46174</v>
      </c>
      <c r="G342" s="371">
        <v>46175</v>
      </c>
      <c r="H342" s="371" t="s">
        <v>752</v>
      </c>
      <c r="I342" s="372"/>
      <c r="J342" s="372">
        <v>0.5</v>
      </c>
      <c r="K342" s="381">
        <v>0.375</v>
      </c>
      <c r="L342" s="381">
        <v>0.79166666666666663</v>
      </c>
      <c r="M342" s="381">
        <v>0.75</v>
      </c>
      <c r="N342" s="381">
        <v>0.25</v>
      </c>
      <c r="O342" s="381">
        <v>4.1666666666666664E-2</v>
      </c>
      <c r="P342" s="375" t="s">
        <v>285</v>
      </c>
      <c r="Q342" s="375"/>
      <c r="R342" s="376"/>
      <c r="S342" s="370">
        <f>VLOOKUP(Table2[[#This Row],[Course Title]],'TSD-Data'!$A$1:$E$70,4,FALSE)</f>
        <v>45</v>
      </c>
      <c r="T342" s="377">
        <f>VLOOKUP(Table2[[#This Row],[Course Title]],'TSD-Data'!$A$1:$F$70,6,FALSE)</f>
        <v>16</v>
      </c>
      <c r="U342" s="378">
        <f>VLOOKUP(Table2[[#This Row],[Course Title]],'TSD-Data'!$A$1:$F$70,5,FALSE)</f>
        <v>2</v>
      </c>
      <c r="V342" s="379">
        <v>1882</v>
      </c>
      <c r="W342" s="377"/>
      <c r="X342" s="377"/>
      <c r="Y342" s="378"/>
      <c r="Z342" s="378"/>
      <c r="AA342" s="370"/>
      <c r="AB342" s="370"/>
      <c r="AC342" s="370"/>
      <c r="AD342" s="370"/>
      <c r="AE342" s="378">
        <f ca="1">Table2[[#This Row],[End Date]]+2-TODAY()</f>
        <v>359</v>
      </c>
      <c r="AF342" s="370">
        <f>IF(ISBLANK(Table2[[#This Row],[Roster Received by]]),1,0)</f>
        <v>1</v>
      </c>
      <c r="AG342" s="377">
        <f ca="1">IF(Table2[[#This Row],[Start Date]]&gt;TODAY(),1,)</f>
        <v>1</v>
      </c>
      <c r="AH342" s="377">
        <f>IF(ISBLANK(Table2[[#This Row],[Primary Instructor]]),0,1)</f>
        <v>1</v>
      </c>
      <c r="AI342" s="377">
        <f>IF(ISBLANK(Table2[[#This Row],[Instructor 2]]),0,1)</f>
        <v>0</v>
      </c>
      <c r="AJ342" s="377">
        <f>Table2[[#This Row],[Course Length (Hours)]]/(SUM(Table2[[#This Row],[1]:[2]]))</f>
        <v>16</v>
      </c>
      <c r="AK342" s="370"/>
      <c r="AL342" s="377">
        <v>3</v>
      </c>
      <c r="AM342" s="403" t="str">
        <f>VLOOKUP(Table2[[#This Row],[Course Title]],'TSD-Data'!$A$1:$G$70,7,FALSE)</f>
        <v>N1</v>
      </c>
    </row>
    <row r="343" spans="1:39" s="380" customFormat="1" x14ac:dyDescent="0.25">
      <c r="A343" s="413"/>
      <c r="B343" s="414" t="s">
        <v>36</v>
      </c>
      <c r="C343" s="370" t="str">
        <f>VLOOKUP(Table2[[#This Row],[Course Title]],'TSD-Data'!$A$1:$E$70,2,FALSE)</f>
        <v>A-493-2017</v>
      </c>
      <c r="D343" s="370" t="str">
        <f>VLOOKUP(Table2[[#This Row],[Course Title]],'TSD-Data'!$A$1:$E$70,3,FALSE)</f>
        <v>12x3</v>
      </c>
      <c r="E343" s="414" t="s">
        <v>409</v>
      </c>
      <c r="F343" s="416">
        <v>46174</v>
      </c>
      <c r="G343" s="416">
        <v>46178</v>
      </c>
      <c r="H343" s="426" t="s">
        <v>753</v>
      </c>
      <c r="I343" s="417">
        <v>0.33333333333333331</v>
      </c>
      <c r="J343" s="417"/>
      <c r="K343" s="416"/>
      <c r="L343" s="416"/>
      <c r="M343" s="416"/>
      <c r="N343" s="416"/>
      <c r="O343" s="416"/>
      <c r="P343" s="418" t="s">
        <v>241</v>
      </c>
      <c r="Q343" s="418"/>
      <c r="R343" s="376"/>
      <c r="S343" s="370">
        <f>VLOOKUP(Table2[[#This Row],[Course Title]],'TSD-Data'!$A$1:$E$70,4,FALSE)</f>
        <v>25</v>
      </c>
      <c r="T343" s="377">
        <f>VLOOKUP(Table2[[#This Row],[Course Title]],'TSD-Data'!$A$1:$F$70,6,FALSE)</f>
        <v>40</v>
      </c>
      <c r="U343" s="378">
        <f>VLOOKUP(Table2[[#This Row],[Course Title]],'TSD-Data'!$A$1:$F$70,5,FALSE)</f>
        <v>5</v>
      </c>
      <c r="V343" s="379">
        <v>30</v>
      </c>
      <c r="W343" s="377"/>
      <c r="X343" s="377"/>
      <c r="Y343" s="420"/>
      <c r="Z343" s="420"/>
      <c r="AA343" s="415"/>
      <c r="AB343" s="415"/>
      <c r="AC343" s="421"/>
      <c r="AD343" s="421"/>
      <c r="AE343" s="420">
        <v>373</v>
      </c>
      <c r="AF343" s="415">
        <v>1</v>
      </c>
      <c r="AG343" s="403">
        <v>1</v>
      </c>
      <c r="AH343" s="403">
        <v>1</v>
      </c>
      <c r="AI343" s="403">
        <v>0</v>
      </c>
      <c r="AJ343" s="403">
        <v>40</v>
      </c>
      <c r="AK343" s="415"/>
      <c r="AL343" s="377">
        <v>3</v>
      </c>
      <c r="AM343" s="403" t="str">
        <f>VLOOKUP(Table2[[#This Row],[Course Title]],'TSD-Data'!$A$1:$G$70,7,FALSE)</f>
        <v>N4</v>
      </c>
    </row>
    <row r="344" spans="1:39" s="380" customFormat="1" x14ac:dyDescent="0.25">
      <c r="A344" s="413"/>
      <c r="B344" s="369" t="s">
        <v>29</v>
      </c>
      <c r="C344" s="370" t="str">
        <f>VLOOKUP(Table2[[#This Row],[Course Title]],'TSD-Data'!$A$1:$E$70,2,FALSE)</f>
        <v>A-493-0077</v>
      </c>
      <c r="D344" s="370" t="str">
        <f>VLOOKUP(Table2[[#This Row],[Course Title]],'TSD-Data'!$A$1:$E$70,3,FALSE)</f>
        <v>0381</v>
      </c>
      <c r="E344" s="414" t="s">
        <v>176</v>
      </c>
      <c r="F344" s="416">
        <v>46176</v>
      </c>
      <c r="G344" s="416">
        <v>46178</v>
      </c>
      <c r="H344" s="426" t="s">
        <v>753</v>
      </c>
      <c r="I344" s="417">
        <v>0.33333333333333331</v>
      </c>
      <c r="J344" s="417"/>
      <c r="K344" s="416"/>
      <c r="L344" s="416"/>
      <c r="M344" s="416"/>
      <c r="N344" s="416"/>
      <c r="O344" s="416"/>
      <c r="P344" s="418" t="s">
        <v>241</v>
      </c>
      <c r="Q344" s="418"/>
      <c r="R344" s="376"/>
      <c r="S344" s="370">
        <f>VLOOKUP(Table2[[#This Row],[Course Title]],'TSD-Data'!$A$1:$E$70,4,FALSE)</f>
        <v>25</v>
      </c>
      <c r="T344" s="377">
        <f>VLOOKUP(Table2[[#This Row],[Course Title]],'TSD-Data'!$A$1:$F$70,6,FALSE)</f>
        <v>24</v>
      </c>
      <c r="U344" s="378">
        <f>VLOOKUP(Table2[[#This Row],[Course Title]],'TSD-Data'!$A$1:$F$70,5,FALSE)</f>
        <v>3</v>
      </c>
      <c r="V344" s="379">
        <v>82</v>
      </c>
      <c r="W344" s="377"/>
      <c r="X344" s="377"/>
      <c r="Y344" s="420"/>
      <c r="Z344" s="420"/>
      <c r="AA344" s="415"/>
      <c r="AB344" s="415"/>
      <c r="AC344" s="421"/>
      <c r="AD344" s="421"/>
      <c r="AE344" s="420">
        <v>373</v>
      </c>
      <c r="AF344" s="415">
        <v>1</v>
      </c>
      <c r="AG344" s="403">
        <v>1</v>
      </c>
      <c r="AH344" s="403">
        <v>1</v>
      </c>
      <c r="AI344" s="403">
        <v>0</v>
      </c>
      <c r="AJ344" s="403">
        <v>24</v>
      </c>
      <c r="AK344" s="415"/>
      <c r="AL344" s="377">
        <v>3</v>
      </c>
      <c r="AM344" s="403" t="str">
        <f>VLOOKUP(Table2[[#This Row],[Course Title]],'TSD-Data'!$A$1:$G$70,7,FALSE)</f>
        <v>N4</v>
      </c>
    </row>
    <row r="345" spans="1:39" s="380" customFormat="1" x14ac:dyDescent="0.25">
      <c r="A345" s="368"/>
      <c r="B345" s="432" t="s">
        <v>37</v>
      </c>
      <c r="C345" s="370" t="str">
        <f>VLOOKUP(Table2[[#This Row],[Course Title]],'TSD-Data'!$A$1:$E$70,2,FALSE)</f>
        <v>A-493-0665</v>
      </c>
      <c r="D345" s="370" t="str">
        <f>VLOOKUP(Table2[[#This Row],[Course Title]],'TSD-Data'!$A$1:$E$70,3,FALSE)</f>
        <v>10KW</v>
      </c>
      <c r="E345" s="369" t="s">
        <v>86</v>
      </c>
      <c r="F345" s="371">
        <v>46181</v>
      </c>
      <c r="G345" s="371">
        <v>46183</v>
      </c>
      <c r="H345" s="371" t="s">
        <v>752</v>
      </c>
      <c r="I345" s="372"/>
      <c r="J345" s="372">
        <v>0.79166666666666663</v>
      </c>
      <c r="K345" s="381">
        <v>0.66666666666666663</v>
      </c>
      <c r="L345" s="381">
        <v>8.3333333333333329E-2</v>
      </c>
      <c r="M345" s="381">
        <v>0</v>
      </c>
      <c r="N345" s="381">
        <v>0.54166666666666663</v>
      </c>
      <c r="O345" s="381">
        <v>0.33333333333333331</v>
      </c>
      <c r="P345" s="375" t="s">
        <v>248</v>
      </c>
      <c r="Q345" s="375"/>
      <c r="R345" s="376"/>
      <c r="S345" s="370">
        <f>VLOOKUP(Table2[[#This Row],[Course Title]],'TSD-Data'!$A$1:$E$70,4,FALSE)</f>
        <v>45</v>
      </c>
      <c r="T345" s="377">
        <f>VLOOKUP(Table2[[#This Row],[Course Title]],'TSD-Data'!$A$1:$F$70,6,FALSE)</f>
        <v>24</v>
      </c>
      <c r="U345" s="378">
        <f>VLOOKUP(Table2[[#This Row],[Course Title]],'TSD-Data'!$A$1:$F$70,5,FALSE)</f>
        <v>3</v>
      </c>
      <c r="V345" s="379">
        <v>82</v>
      </c>
      <c r="W345" s="377"/>
      <c r="X345" s="377"/>
      <c r="Y345" s="378"/>
      <c r="Z345" s="378"/>
      <c r="AA345" s="370"/>
      <c r="AB345" s="370"/>
      <c r="AC345" s="370"/>
      <c r="AD345" s="370"/>
      <c r="AE345" s="378">
        <f ca="1">Table2[[#This Row],[End Date]]+2-TODAY()</f>
        <v>367</v>
      </c>
      <c r="AF345" s="370">
        <f>IF(ISBLANK(Table2[[#This Row],[Roster Received by]]),1,0)</f>
        <v>1</v>
      </c>
      <c r="AG345" s="377">
        <f ca="1">IF(Table2[[#This Row],[Start Date]]&gt;TODAY(),1,)</f>
        <v>1</v>
      </c>
      <c r="AH345" s="377">
        <f>IF(ISBLANK(Table2[[#This Row],[Primary Instructor]]),0,1)</f>
        <v>1</v>
      </c>
      <c r="AI345" s="377">
        <f>IF(ISBLANK(Table2[[#This Row],[Instructor 2]]),0,1)</f>
        <v>0</v>
      </c>
      <c r="AJ345" s="377">
        <f>Table2[[#This Row],[Course Length (Hours)]]/(SUM(Table2[[#This Row],[1]:[2]]))</f>
        <v>24</v>
      </c>
      <c r="AK345" s="370"/>
      <c r="AL345" s="377">
        <v>3</v>
      </c>
      <c r="AM345" s="403" t="str">
        <f>VLOOKUP(Table2[[#This Row],[Course Title]],'TSD-Data'!$A$1:$G$70,7,FALSE)</f>
        <v>N5</v>
      </c>
    </row>
    <row r="346" spans="1:39" s="380" customFormat="1" x14ac:dyDescent="0.25">
      <c r="A346" s="368"/>
      <c r="B346" s="432" t="s">
        <v>55</v>
      </c>
      <c r="C346" s="370" t="str">
        <f>VLOOKUP(Table2[[#This Row],[Course Title]],'TSD-Data'!$A$1:$E$70,2,FALSE)</f>
        <v>A-493-0103</v>
      </c>
      <c r="D346" s="370" t="str">
        <f>VLOOKUP(Table2[[#This Row],[Course Title]],'TSD-Data'!$A$1:$E$70,3,FALSE)</f>
        <v>12JY</v>
      </c>
      <c r="E346" s="369" t="s">
        <v>170</v>
      </c>
      <c r="F346" s="371">
        <v>46181</v>
      </c>
      <c r="G346" s="371">
        <v>46185</v>
      </c>
      <c r="H346" s="371" t="s">
        <v>752</v>
      </c>
      <c r="I346" s="372">
        <v>0.33333333333333331</v>
      </c>
      <c r="J346" s="372"/>
      <c r="K346" s="371"/>
      <c r="L346" s="371"/>
      <c r="M346" s="371"/>
      <c r="N346" s="371"/>
      <c r="O346" s="371"/>
      <c r="P346" s="375" t="s">
        <v>289</v>
      </c>
      <c r="Q346" s="375"/>
      <c r="R346" s="376"/>
      <c r="S346" s="370">
        <f>VLOOKUP(Table2[[#This Row],[Course Title]],'TSD-Data'!$A$1:$E$70,4,FALSE)</f>
        <v>25</v>
      </c>
      <c r="T346" s="377">
        <f>VLOOKUP(Table2[[#This Row],[Course Title]],'TSD-Data'!$A$1:$F$70,6,FALSE)</f>
        <v>40</v>
      </c>
      <c r="U346" s="378">
        <f>VLOOKUP(Table2[[#This Row],[Course Title]],'TSD-Data'!$A$1:$F$70,5,FALSE)</f>
        <v>5</v>
      </c>
      <c r="V346" s="379">
        <v>512</v>
      </c>
      <c r="W346" s="377"/>
      <c r="X346" s="377"/>
      <c r="Y346" s="378"/>
      <c r="Z346" s="378"/>
      <c r="AA346" s="370"/>
      <c r="AB346" s="370"/>
      <c r="AC346" s="370"/>
      <c r="AD346" s="370"/>
      <c r="AE346" s="378">
        <f ca="1">Table2[[#This Row],[End Date]]+2-TODAY()</f>
        <v>369</v>
      </c>
      <c r="AF346" s="370">
        <f>IF(ISBLANK(Table2[[#This Row],[Roster Received by]]),1,0)</f>
        <v>1</v>
      </c>
      <c r="AG346" s="377">
        <f ca="1">IF(Table2[[#This Row],[Start Date]]&gt;TODAY(),1,)</f>
        <v>1</v>
      </c>
      <c r="AH346" s="377">
        <f>IF(ISBLANK(Table2[[#This Row],[Primary Instructor]]),0,1)</f>
        <v>1</v>
      </c>
      <c r="AI346" s="377">
        <f>IF(ISBLANK(Table2[[#This Row],[Instructor 2]]),0,1)</f>
        <v>0</v>
      </c>
      <c r="AJ346" s="377">
        <f>Table2[[#This Row],[Course Length (Hours)]]/(SUM(Table2[[#This Row],[1]:[2]]))</f>
        <v>40</v>
      </c>
      <c r="AK346" s="370"/>
      <c r="AL346" s="377">
        <v>3</v>
      </c>
      <c r="AM346" s="403" t="str">
        <f>VLOOKUP(Table2[[#This Row],[Course Title]],'TSD-Data'!$A$1:$G$70,7,FALSE)</f>
        <v>N5</v>
      </c>
    </row>
    <row r="347" spans="1:39" s="380" customFormat="1" x14ac:dyDescent="0.25">
      <c r="A347" s="368"/>
      <c r="B347" s="432" t="s">
        <v>55</v>
      </c>
      <c r="C347" s="370" t="str">
        <f>VLOOKUP(Table2[[#This Row],[Course Title]],'TSD-Data'!$A$1:$E$70,2,FALSE)</f>
        <v>A-493-0103</v>
      </c>
      <c r="D347" s="370" t="str">
        <f>VLOOKUP(Table2[[#This Row],[Course Title]],'TSD-Data'!$A$1:$E$70,3,FALSE)</f>
        <v>12JY</v>
      </c>
      <c r="E347" s="369" t="s">
        <v>415</v>
      </c>
      <c r="F347" s="371">
        <v>46181</v>
      </c>
      <c r="G347" s="371">
        <v>46185</v>
      </c>
      <c r="H347" s="371" t="s">
        <v>752</v>
      </c>
      <c r="I347" s="372">
        <v>0.33333333333333331</v>
      </c>
      <c r="J347" s="372"/>
      <c r="K347" s="371"/>
      <c r="L347" s="371"/>
      <c r="M347" s="371"/>
      <c r="N347" s="371"/>
      <c r="O347" s="371"/>
      <c r="P347" s="375" t="s">
        <v>289</v>
      </c>
      <c r="Q347" s="375"/>
      <c r="R347" s="376"/>
      <c r="S347" s="370">
        <f>VLOOKUP(Table2[[#This Row],[Course Title]],'TSD-Data'!$A$1:$E$70,4,FALSE)</f>
        <v>25</v>
      </c>
      <c r="T347" s="377">
        <f>VLOOKUP(Table2[[#This Row],[Course Title]],'TSD-Data'!$A$1:$F$70,6,FALSE)</f>
        <v>40</v>
      </c>
      <c r="U347" s="378">
        <f>VLOOKUP(Table2[[#This Row],[Course Title]],'TSD-Data'!$A$1:$F$70,5,FALSE)</f>
        <v>5</v>
      </c>
      <c r="V347" s="379"/>
      <c r="W347" s="377"/>
      <c r="X347" s="377"/>
      <c r="Y347" s="378"/>
      <c r="Z347" s="378"/>
      <c r="AA347" s="370"/>
      <c r="AB347" s="370"/>
      <c r="AC347" s="370"/>
      <c r="AD347" s="370"/>
      <c r="AE347" s="378">
        <f ca="1">Table2[[#This Row],[End Date]]+2-TODAY()</f>
        <v>369</v>
      </c>
      <c r="AF347" s="370">
        <f>IF(ISBLANK(Table2[[#This Row],[Roster Received by]]),1,0)</f>
        <v>1</v>
      </c>
      <c r="AG347" s="377">
        <f ca="1">IF(Table2[[#This Row],[Start Date]]&gt;TODAY(),1,)</f>
        <v>1</v>
      </c>
      <c r="AH347" s="377">
        <f>IF(ISBLANK(Table2[[#This Row],[Primary Instructor]]),0,1)</f>
        <v>1</v>
      </c>
      <c r="AI347" s="377">
        <f>IF(ISBLANK(Table2[[#This Row],[Instructor 2]]),0,1)</f>
        <v>0</v>
      </c>
      <c r="AJ347" s="377">
        <f>Table2[[#This Row],[Course Length (Hours)]]/(SUM(Table2[[#This Row],[1]:[2]]))</f>
        <v>40</v>
      </c>
      <c r="AK347" s="370"/>
      <c r="AL347" s="377">
        <v>3</v>
      </c>
      <c r="AM347" s="403" t="str">
        <f>VLOOKUP(Table2[[#This Row],[Course Title]],'TSD-Data'!$A$1:$G$70,7,FALSE)</f>
        <v>N5</v>
      </c>
    </row>
    <row r="348" spans="1:39" s="380" customFormat="1" x14ac:dyDescent="0.25">
      <c r="A348" s="425" t="s">
        <v>723</v>
      </c>
      <c r="B348" s="401" t="s">
        <v>17</v>
      </c>
      <c r="C348" s="370" t="str">
        <f>VLOOKUP(Table2[[#This Row],[Course Title]],'TSD-Data'!$A$1:$E$70,2,FALSE)</f>
        <v>A-493-0012</v>
      </c>
      <c r="D348" s="370">
        <f>VLOOKUP(Table2[[#This Row],[Course Title]],'TSD-Data'!$A$1:$E$70,3,FALSE)</f>
        <v>3682</v>
      </c>
      <c r="E348" s="401" t="s">
        <v>276</v>
      </c>
      <c r="F348" s="426">
        <v>46181</v>
      </c>
      <c r="G348" s="426">
        <v>46185</v>
      </c>
      <c r="H348" s="426" t="s">
        <v>753</v>
      </c>
      <c r="I348" s="372">
        <v>0.33333333333333331</v>
      </c>
      <c r="J348" s="372"/>
      <c r="K348" s="437"/>
      <c r="L348" s="371"/>
      <c r="M348" s="371"/>
      <c r="N348" s="371"/>
      <c r="O348" s="371"/>
      <c r="P348" s="375" t="s">
        <v>241</v>
      </c>
      <c r="Q348" s="375"/>
      <c r="R348" s="376"/>
      <c r="S348" s="370">
        <f>VLOOKUP(Table2[[#This Row],[Course Title]],'TSD-Data'!$A$1:$E$70,4,FALSE)</f>
        <v>40</v>
      </c>
      <c r="T348" s="377">
        <f>VLOOKUP(Table2[[#This Row],[Course Title]],'TSD-Data'!$A$1:$F$70,6,FALSE)</f>
        <v>40</v>
      </c>
      <c r="U348" s="378">
        <f>VLOOKUP(Table2[[#This Row],[Course Title]],'TSD-Data'!$A$1:$F$70,5,FALSE)</f>
        <v>5</v>
      </c>
      <c r="V348" s="377">
        <v>38</v>
      </c>
      <c r="W348" s="377"/>
      <c r="X348" s="377"/>
      <c r="Y348" s="378"/>
      <c r="Z348" s="378"/>
      <c r="AA348" s="370"/>
      <c r="AB348" s="370"/>
      <c r="AC348" s="370"/>
      <c r="AD348" s="370"/>
      <c r="AE348" s="378" t="e">
        <v>#REF!</v>
      </c>
      <c r="AF348" s="370">
        <v>0</v>
      </c>
      <c r="AG348" s="377" t="e">
        <v>#REF!</v>
      </c>
      <c r="AH348" s="377">
        <v>1</v>
      </c>
      <c r="AI348" s="377">
        <v>1</v>
      </c>
      <c r="AJ348" s="377" t="e">
        <v>#VALUE!</v>
      </c>
      <c r="AK348" s="370"/>
      <c r="AL348" s="377">
        <v>3</v>
      </c>
      <c r="AM348" s="403" t="str">
        <f>VLOOKUP(Table2[[#This Row],[Course Title]],'TSD-Data'!$A$1:$G$70,7,FALSE)</f>
        <v>N4</v>
      </c>
    </row>
    <row r="349" spans="1:39" s="380" customFormat="1" x14ac:dyDescent="0.25">
      <c r="A349" s="425" t="s">
        <v>517</v>
      </c>
      <c r="B349" s="401" t="s">
        <v>17</v>
      </c>
      <c r="C349" s="370" t="str">
        <f>VLOOKUP(Table2[[#This Row],[Course Title]],'TSD-Data'!$A$1:$E$70,2,FALSE)</f>
        <v>A-493-0012</v>
      </c>
      <c r="D349" s="370">
        <f>VLOOKUP(Table2[[#This Row],[Course Title]],'TSD-Data'!$A$1:$E$70,3,FALSE)</f>
        <v>3682</v>
      </c>
      <c r="E349" s="401" t="s">
        <v>234</v>
      </c>
      <c r="F349" s="426">
        <v>46181</v>
      </c>
      <c r="G349" s="426">
        <v>46185</v>
      </c>
      <c r="H349" s="426" t="s">
        <v>753</v>
      </c>
      <c r="I349" s="372">
        <v>0.33333333333333331</v>
      </c>
      <c r="J349" s="372"/>
      <c r="K349" s="371"/>
      <c r="L349" s="371"/>
      <c r="M349" s="371"/>
      <c r="N349" s="371"/>
      <c r="O349" s="371"/>
      <c r="P349" s="375" t="s">
        <v>241</v>
      </c>
      <c r="Q349" s="375"/>
      <c r="R349" s="376"/>
      <c r="S349" s="370">
        <f>VLOOKUP(Table2[[#This Row],[Course Title]],'TSD-Data'!$A$1:$E$70,4,FALSE)</f>
        <v>40</v>
      </c>
      <c r="T349" s="377">
        <f>VLOOKUP(Table2[[#This Row],[Course Title]],'TSD-Data'!$A$1:$F$70,6,FALSE)</f>
        <v>40</v>
      </c>
      <c r="U349" s="378">
        <f>VLOOKUP(Table2[[#This Row],[Course Title]],'TSD-Data'!$A$1:$F$70,5,FALSE)</f>
        <v>5</v>
      </c>
      <c r="V349" s="377">
        <v>30</v>
      </c>
      <c r="W349" s="377"/>
      <c r="X349" s="377"/>
      <c r="Y349" s="378"/>
      <c r="Z349" s="378"/>
      <c r="AA349" s="370"/>
      <c r="AB349" s="370"/>
      <c r="AC349" s="370"/>
      <c r="AD349" s="370"/>
      <c r="AE349" s="378" t="e">
        <v>#REF!</v>
      </c>
      <c r="AF349" s="370">
        <v>0</v>
      </c>
      <c r="AG349" s="377" t="e">
        <v>#REF!</v>
      </c>
      <c r="AH349" s="377">
        <v>1</v>
      </c>
      <c r="AI349" s="377">
        <v>1</v>
      </c>
      <c r="AJ349" s="377" t="e">
        <v>#VALUE!</v>
      </c>
      <c r="AK349" s="370"/>
      <c r="AL349" s="377">
        <v>3</v>
      </c>
      <c r="AM349" s="403" t="str">
        <f>VLOOKUP(Table2[[#This Row],[Course Title]],'TSD-Data'!$A$1:$G$70,7,FALSE)</f>
        <v>N4</v>
      </c>
    </row>
    <row r="350" spans="1:39" s="380" customFormat="1" x14ac:dyDescent="0.25">
      <c r="A350" s="413" t="s">
        <v>507</v>
      </c>
      <c r="B350" s="414" t="s">
        <v>28</v>
      </c>
      <c r="C350" s="370" t="str">
        <f>VLOOKUP(Table2[[#This Row],[Course Title]],'TSD-Data'!$A$1:$E$70,2,FALSE)</f>
        <v>A-493-0013</v>
      </c>
      <c r="D350" s="370">
        <f>VLOOKUP(Table2[[#This Row],[Course Title]],'TSD-Data'!$A$1:$E$70,3,FALSE)</f>
        <v>3683</v>
      </c>
      <c r="E350" s="414" t="s">
        <v>416</v>
      </c>
      <c r="F350" s="416">
        <v>46181</v>
      </c>
      <c r="G350" s="416">
        <v>46183</v>
      </c>
      <c r="H350" s="426" t="s">
        <v>753</v>
      </c>
      <c r="I350" s="417">
        <v>0.33333333333333331</v>
      </c>
      <c r="J350" s="417"/>
      <c r="K350" s="416"/>
      <c r="L350" s="416"/>
      <c r="M350" s="416"/>
      <c r="N350" s="416"/>
      <c r="O350" s="416"/>
      <c r="P350" s="418" t="s">
        <v>241</v>
      </c>
      <c r="Q350" s="418"/>
      <c r="R350" s="376"/>
      <c r="S350" s="370">
        <f>VLOOKUP(Table2[[#This Row],[Course Title]],'TSD-Data'!$A$1:$E$70,4,FALSE)</f>
        <v>40</v>
      </c>
      <c r="T350" s="377">
        <f>VLOOKUP(Table2[[#This Row],[Course Title]],'TSD-Data'!$A$1:$F$70,6,FALSE)</f>
        <v>24</v>
      </c>
      <c r="U350" s="378">
        <f>VLOOKUP(Table2[[#This Row],[Course Title]],'TSD-Data'!$A$1:$F$70,5,FALSE)</f>
        <v>3</v>
      </c>
      <c r="V350" s="379">
        <v>25</v>
      </c>
      <c r="W350" s="377"/>
      <c r="X350" s="377"/>
      <c r="Y350" s="420"/>
      <c r="Z350" s="420"/>
      <c r="AA350" s="415"/>
      <c r="AB350" s="415"/>
      <c r="AC350" s="421"/>
      <c r="AD350" s="421"/>
      <c r="AE350" s="420">
        <v>378</v>
      </c>
      <c r="AF350" s="415">
        <v>1</v>
      </c>
      <c r="AG350" s="403">
        <v>1</v>
      </c>
      <c r="AH350" s="403">
        <v>1</v>
      </c>
      <c r="AI350" s="403">
        <v>0</v>
      </c>
      <c r="AJ350" s="403">
        <v>24</v>
      </c>
      <c r="AK350" s="415"/>
      <c r="AL350" s="377">
        <v>3</v>
      </c>
      <c r="AM350" s="403" t="str">
        <f>VLOOKUP(Table2[[#This Row],[Course Title]],'TSD-Data'!$A$1:$G$70,7,FALSE)</f>
        <v>N4</v>
      </c>
    </row>
    <row r="351" spans="1:39" s="380" customFormat="1" x14ac:dyDescent="0.25">
      <c r="A351" s="413"/>
      <c r="B351" s="369" t="s">
        <v>29</v>
      </c>
      <c r="C351" s="370" t="str">
        <f>VLOOKUP(Table2[[#This Row],[Course Title]],'TSD-Data'!$A$1:$E$70,2,FALSE)</f>
        <v>A-493-0077</v>
      </c>
      <c r="D351" s="370" t="str">
        <f>VLOOKUP(Table2[[#This Row],[Course Title]],'TSD-Data'!$A$1:$E$70,3,FALSE)</f>
        <v>0381</v>
      </c>
      <c r="E351" s="414" t="s">
        <v>273</v>
      </c>
      <c r="F351" s="416">
        <v>46181</v>
      </c>
      <c r="G351" s="416">
        <v>46183</v>
      </c>
      <c r="H351" s="426" t="s">
        <v>753</v>
      </c>
      <c r="I351" s="417">
        <v>0.33333333333333331</v>
      </c>
      <c r="J351" s="417"/>
      <c r="K351" s="416"/>
      <c r="L351" s="416"/>
      <c r="M351" s="416"/>
      <c r="N351" s="416"/>
      <c r="O351" s="416"/>
      <c r="P351" s="418" t="s">
        <v>241</v>
      </c>
      <c r="Q351" s="418"/>
      <c r="R351" s="376"/>
      <c r="S351" s="370">
        <f>VLOOKUP(Table2[[#This Row],[Course Title]],'TSD-Data'!$A$1:$E$70,4,FALSE)</f>
        <v>25</v>
      </c>
      <c r="T351" s="377">
        <f>VLOOKUP(Table2[[#This Row],[Course Title]],'TSD-Data'!$A$1:$F$70,6,FALSE)</f>
        <v>24</v>
      </c>
      <c r="U351" s="378">
        <f>VLOOKUP(Table2[[#This Row],[Course Title]],'TSD-Data'!$A$1:$F$70,5,FALSE)</f>
        <v>3</v>
      </c>
      <c r="V351" s="379">
        <v>16</v>
      </c>
      <c r="W351" s="377"/>
      <c r="X351" s="377"/>
      <c r="Y351" s="420"/>
      <c r="Z351" s="420"/>
      <c r="AA351" s="415"/>
      <c r="AB351" s="415"/>
      <c r="AC351" s="421"/>
      <c r="AD351" s="421"/>
      <c r="AE351" s="420">
        <v>378</v>
      </c>
      <c r="AF351" s="415">
        <v>1</v>
      </c>
      <c r="AG351" s="403">
        <v>1</v>
      </c>
      <c r="AH351" s="403">
        <v>1</v>
      </c>
      <c r="AI351" s="403">
        <v>0</v>
      </c>
      <c r="AJ351" s="403">
        <v>24</v>
      </c>
      <c r="AK351" s="415"/>
      <c r="AL351" s="377">
        <v>3</v>
      </c>
      <c r="AM351" s="403" t="str">
        <f>VLOOKUP(Table2[[#This Row],[Course Title]],'TSD-Data'!$A$1:$G$70,7,FALSE)</f>
        <v>N4</v>
      </c>
    </row>
    <row r="352" spans="1:39" s="380" customFormat="1" x14ac:dyDescent="0.25">
      <c r="A352" s="413"/>
      <c r="B352" s="414" t="s">
        <v>35</v>
      </c>
      <c r="C352" s="370" t="str">
        <f>VLOOKUP(Table2[[#This Row],[Course Title]],'TSD-Data'!$A$1:$E$70,2,FALSE)</f>
        <v>A-493-2501</v>
      </c>
      <c r="D352" s="370" t="str">
        <f>VLOOKUP(Table2[[#This Row],[Course Title]],'TSD-Data'!$A$1:$E$70,3,FALSE)</f>
        <v>05ZE</v>
      </c>
      <c r="E352" s="414" t="s">
        <v>276</v>
      </c>
      <c r="F352" s="416">
        <v>46181</v>
      </c>
      <c r="G352" s="416">
        <v>46181</v>
      </c>
      <c r="H352" s="426" t="s">
        <v>753</v>
      </c>
      <c r="I352" s="417">
        <v>0.33333333333333331</v>
      </c>
      <c r="J352" s="417"/>
      <c r="K352" s="416"/>
      <c r="L352" s="416"/>
      <c r="M352" s="416"/>
      <c r="N352" s="416"/>
      <c r="O352" s="416"/>
      <c r="P352" s="418" t="s">
        <v>241</v>
      </c>
      <c r="Q352" s="418"/>
      <c r="R352" s="376"/>
      <c r="S352" s="370">
        <f>VLOOKUP(Table2[[#This Row],[Course Title]],'TSD-Data'!$A$1:$E$70,4,FALSE)</f>
        <v>30</v>
      </c>
      <c r="T352" s="377">
        <f>VLOOKUP(Table2[[#This Row],[Course Title]],'TSD-Data'!$A$1:$F$70,6,FALSE)</f>
        <v>8</v>
      </c>
      <c r="U352" s="378">
        <f>VLOOKUP(Table2[[#This Row],[Course Title]],'TSD-Data'!$A$1:$F$70,5,FALSE)</f>
        <v>1</v>
      </c>
      <c r="V352" s="379">
        <v>35</v>
      </c>
      <c r="W352" s="377"/>
      <c r="X352" s="377"/>
      <c r="Y352" s="420"/>
      <c r="Z352" s="420"/>
      <c r="AA352" s="415"/>
      <c r="AB352" s="415"/>
      <c r="AC352" s="421"/>
      <c r="AD352" s="421"/>
      <c r="AE352" s="420">
        <v>376</v>
      </c>
      <c r="AF352" s="415">
        <v>1</v>
      </c>
      <c r="AG352" s="403">
        <v>1</v>
      </c>
      <c r="AH352" s="403">
        <v>1</v>
      </c>
      <c r="AI352" s="403">
        <v>0</v>
      </c>
      <c r="AJ352" s="403">
        <v>8</v>
      </c>
      <c r="AK352" s="415"/>
      <c r="AL352" s="377">
        <v>3</v>
      </c>
      <c r="AM352" s="403" t="str">
        <f>VLOOKUP(Table2[[#This Row],[Course Title]],'TSD-Data'!$A$1:$G$70,7,FALSE)</f>
        <v>N4</v>
      </c>
    </row>
    <row r="353" spans="1:39" s="380" customFormat="1" x14ac:dyDescent="0.25">
      <c r="A353" s="368"/>
      <c r="B353" s="369" t="s">
        <v>39</v>
      </c>
      <c r="C353" s="370" t="str">
        <f>VLOOKUP(Table2[[#This Row],[Course Title]],'TSD-Data'!$A$1:$E$70,2,FALSE)</f>
        <v>A-570-0100</v>
      </c>
      <c r="D353" s="370" t="str">
        <f>VLOOKUP(Table2[[#This Row],[Course Title]],'TSD-Data'!$A$1:$E$70,3,FALSE)</f>
        <v>18B7</v>
      </c>
      <c r="E353" s="369" t="s">
        <v>86</v>
      </c>
      <c r="F353" s="371">
        <v>46181</v>
      </c>
      <c r="G353" s="371">
        <v>46182</v>
      </c>
      <c r="H353" s="371" t="s">
        <v>752</v>
      </c>
      <c r="I353" s="372"/>
      <c r="J353" s="372">
        <v>0.5</v>
      </c>
      <c r="K353" s="381">
        <v>0.375</v>
      </c>
      <c r="L353" s="381">
        <v>0.79166666666666663</v>
      </c>
      <c r="M353" s="381">
        <v>0.75</v>
      </c>
      <c r="N353" s="381">
        <v>0.25</v>
      </c>
      <c r="O353" s="381">
        <v>4.1666666666666664E-2</v>
      </c>
      <c r="P353" s="375" t="s">
        <v>252</v>
      </c>
      <c r="Q353" s="375"/>
      <c r="R353" s="376"/>
      <c r="S353" s="370">
        <f>VLOOKUP(Table2[[#This Row],[Course Title]],'TSD-Data'!$A$1:$E$70,4,FALSE)</f>
        <v>45</v>
      </c>
      <c r="T353" s="377">
        <f>VLOOKUP(Table2[[#This Row],[Course Title]],'TSD-Data'!$A$1:$F$70,6,FALSE)</f>
        <v>16</v>
      </c>
      <c r="U353" s="378">
        <f>VLOOKUP(Table2[[#This Row],[Course Title]],'TSD-Data'!$A$1:$F$70,5,FALSE)</f>
        <v>2</v>
      </c>
      <c r="V353" s="379">
        <v>663</v>
      </c>
      <c r="W353" s="377"/>
      <c r="X353" s="377"/>
      <c r="Y353" s="378"/>
      <c r="Z353" s="378"/>
      <c r="AA353" s="370"/>
      <c r="AB353" s="370"/>
      <c r="AC353" s="370"/>
      <c r="AD353" s="370"/>
      <c r="AE353" s="378">
        <f ca="1">Table2[[#This Row],[End Date]]+2-TODAY()</f>
        <v>366</v>
      </c>
      <c r="AF353" s="370">
        <f>IF(ISBLANK(Table2[[#This Row],[Roster Received by]]),1,0)</f>
        <v>1</v>
      </c>
      <c r="AG353" s="377">
        <f ca="1">IF(Table2[[#This Row],[Start Date]]&gt;TODAY(),1,)</f>
        <v>1</v>
      </c>
      <c r="AH353" s="377">
        <f>IF(ISBLANK(Table2[[#This Row],[Primary Instructor]]),0,1)</f>
        <v>1</v>
      </c>
      <c r="AI353" s="377">
        <f>IF(ISBLANK(Table2[[#This Row],[Instructor 2]]),0,1)</f>
        <v>0</v>
      </c>
      <c r="AJ353" s="377">
        <f>Table2[[#This Row],[Course Length (Hours)]]/(SUM(Table2[[#This Row],[1]:[2]]))</f>
        <v>16</v>
      </c>
      <c r="AK353" s="370"/>
      <c r="AL353" s="377">
        <v>3</v>
      </c>
      <c r="AM353" s="403" t="str">
        <f>VLOOKUP(Table2[[#This Row],[Course Title]],'TSD-Data'!$A$1:$G$70,7,FALSE)</f>
        <v>N5</v>
      </c>
    </row>
    <row r="354" spans="1:39" s="380" customFormat="1" x14ac:dyDescent="0.25">
      <c r="A354" s="368"/>
      <c r="B354" s="369" t="s">
        <v>53</v>
      </c>
      <c r="C354" s="370" t="str">
        <f>VLOOKUP(Table2[[#This Row],[Course Title]],'TSD-Data'!$A$1:$E$70,2,FALSE)</f>
        <v>A-493-0072</v>
      </c>
      <c r="D354" s="370" t="str">
        <f>VLOOKUP(Table2[[#This Row],[Course Title]],'TSD-Data'!$A$1:$E$70,3,FALSE)</f>
        <v>713U</v>
      </c>
      <c r="E354" s="369" t="s">
        <v>169</v>
      </c>
      <c r="F354" s="371">
        <v>46181</v>
      </c>
      <c r="G354" s="371">
        <v>46185</v>
      </c>
      <c r="H354" s="371" t="s">
        <v>752</v>
      </c>
      <c r="I354" s="372">
        <v>0.33333333333333331</v>
      </c>
      <c r="J354" s="372"/>
      <c r="K354" s="371"/>
      <c r="L354" s="371"/>
      <c r="M354" s="371"/>
      <c r="N354" s="371"/>
      <c r="O354" s="371"/>
      <c r="P354" s="375" t="s">
        <v>238</v>
      </c>
      <c r="Q354" s="375"/>
      <c r="R354" s="376"/>
      <c r="S354" s="370">
        <f>VLOOKUP(Table2[[#This Row],[Course Title]],'TSD-Data'!$A$1:$E$70,4,FALSE)</f>
        <v>30</v>
      </c>
      <c r="T354" s="377">
        <f>VLOOKUP(Table2[[#This Row],[Course Title]],'TSD-Data'!$A$1:$F$70,6,FALSE)</f>
        <v>40</v>
      </c>
      <c r="U354" s="378">
        <f>VLOOKUP(Table2[[#This Row],[Course Title]],'TSD-Data'!$A$1:$F$70,5,FALSE)</f>
        <v>5</v>
      </c>
      <c r="V354" s="379">
        <v>178</v>
      </c>
      <c r="W354" s="377"/>
      <c r="X354" s="377"/>
      <c r="Y354" s="378"/>
      <c r="Z354" s="378"/>
      <c r="AA354" s="370"/>
      <c r="AB354" s="370"/>
      <c r="AC354" s="370"/>
      <c r="AD354" s="370"/>
      <c r="AE354" s="378">
        <f ca="1">Table2[[#This Row],[End Date]]+2-TODAY()</f>
        <v>369</v>
      </c>
      <c r="AF354" s="370">
        <f>IF(ISBLANK(Table2[[#This Row],[Roster Received by]]),1,0)</f>
        <v>1</v>
      </c>
      <c r="AG354" s="377">
        <f ca="1">IF(Table2[[#This Row],[Start Date]]&gt;TODAY(),1,)</f>
        <v>1</v>
      </c>
      <c r="AH354" s="377">
        <f>IF(ISBLANK(Table2[[#This Row],[Primary Instructor]]),0,1)</f>
        <v>1</v>
      </c>
      <c r="AI354" s="377">
        <f>IF(ISBLANK(Table2[[#This Row],[Instructor 2]]),0,1)</f>
        <v>0</v>
      </c>
      <c r="AJ354" s="377">
        <f>Table2[[#This Row],[Course Length (Hours)]]/(SUM(Table2[[#This Row],[1]:[2]]))</f>
        <v>40</v>
      </c>
      <c r="AK354" s="370"/>
      <c r="AL354" s="377">
        <v>3</v>
      </c>
      <c r="AM354" s="403" t="str">
        <f>VLOOKUP(Table2[[#This Row],[Course Title]],'TSD-Data'!$A$1:$G$70,7,FALSE)</f>
        <v>N3</v>
      </c>
    </row>
    <row r="355" spans="1:39" s="380" customFormat="1" x14ac:dyDescent="0.25">
      <c r="A355" s="368"/>
      <c r="B355" s="369" t="s">
        <v>57</v>
      </c>
      <c r="C355" s="370" t="str">
        <f>VLOOKUP(Table2[[#This Row],[Course Title]],'TSD-Data'!$A$1:$E$70,2,FALSE)</f>
        <v>A-493-0099</v>
      </c>
      <c r="D355" s="370" t="str">
        <f>VLOOKUP(Table2[[#This Row],[Course Title]],'TSD-Data'!$A$1:$E$70,3,FALSE)</f>
        <v>12JW</v>
      </c>
      <c r="E355" s="369" t="s">
        <v>86</v>
      </c>
      <c r="F355" s="371">
        <v>46182</v>
      </c>
      <c r="G355" s="371">
        <v>46184</v>
      </c>
      <c r="H355" s="371" t="s">
        <v>752</v>
      </c>
      <c r="I355" s="372"/>
      <c r="J355" s="372">
        <v>0.33333333333333331</v>
      </c>
      <c r="K355" s="372">
        <v>0.20833333333333334</v>
      </c>
      <c r="L355" s="372">
        <v>0.625</v>
      </c>
      <c r="M355" s="372">
        <v>0.54166666666666663</v>
      </c>
      <c r="N355" s="372">
        <v>8.3333333333333329E-2</v>
      </c>
      <c r="O355" s="372">
        <v>0.875</v>
      </c>
      <c r="P355" s="375" t="s">
        <v>277</v>
      </c>
      <c r="Q355" s="375"/>
      <c r="R355" s="376"/>
      <c r="S355" s="370">
        <f>VLOOKUP(Table2[[#This Row],[Course Title]],'TSD-Data'!$A$1:$E$70,4,FALSE)</f>
        <v>45</v>
      </c>
      <c r="T355" s="377">
        <f>VLOOKUP(Table2[[#This Row],[Course Title]],'TSD-Data'!$A$1:$F$70,6,FALSE)</f>
        <v>24</v>
      </c>
      <c r="U355" s="378">
        <f>VLOOKUP(Table2[[#This Row],[Course Title]],'TSD-Data'!$A$1:$F$70,5,FALSE)</f>
        <v>3</v>
      </c>
      <c r="V355" s="379">
        <v>934</v>
      </c>
      <c r="W355" s="377"/>
      <c r="X355" s="377"/>
      <c r="Y355" s="378"/>
      <c r="Z355" s="378"/>
      <c r="AA355" s="370"/>
      <c r="AB355" s="370"/>
      <c r="AC355" s="370"/>
      <c r="AD355" s="370"/>
      <c r="AE355" s="378">
        <f ca="1">Table2[[#This Row],[End Date]]+2-TODAY()</f>
        <v>368</v>
      </c>
      <c r="AF355" s="370">
        <f>IF(ISBLANK(Table2[[#This Row],[Roster Received by]]),1,0)</f>
        <v>1</v>
      </c>
      <c r="AG355" s="377">
        <f ca="1">IF(Table2[[#This Row],[Start Date]]&gt;TODAY(),1,)</f>
        <v>1</v>
      </c>
      <c r="AH355" s="377">
        <f>IF(ISBLANK(Table2[[#This Row],[Primary Instructor]]),0,1)</f>
        <v>1</v>
      </c>
      <c r="AI355" s="377">
        <f>IF(ISBLANK(Table2[[#This Row],[Instructor 2]]),0,1)</f>
        <v>0</v>
      </c>
      <c r="AJ355" s="377">
        <f>Table2[[#This Row],[Course Length (Hours)]]/(SUM(Table2[[#This Row],[1]:[2]]))</f>
        <v>24</v>
      </c>
      <c r="AK355" s="370"/>
      <c r="AL355" s="377">
        <v>3</v>
      </c>
      <c r="AM355" s="403" t="str">
        <f>VLOOKUP(Table2[[#This Row],[Course Title]],'TSD-Data'!$A$1:$G$70,7,FALSE)</f>
        <v>N5</v>
      </c>
    </row>
    <row r="356" spans="1:39" s="380" customFormat="1" x14ac:dyDescent="0.25">
      <c r="A356" s="368"/>
      <c r="B356" s="435" t="s">
        <v>50</v>
      </c>
      <c r="C356" s="370" t="str">
        <f>VLOOKUP(Table2[[#This Row],[Course Title]],'TSD-Data'!$A$1:$E$70,2,FALSE)</f>
        <v>A-493-0331</v>
      </c>
      <c r="D356" s="370" t="str">
        <f>VLOOKUP(Table2[[#This Row],[Course Title]],'TSD-Data'!$A$1:$E$70,3,FALSE)</f>
        <v>10UG</v>
      </c>
      <c r="E356" s="369" t="s">
        <v>86</v>
      </c>
      <c r="F356" s="371">
        <v>46182</v>
      </c>
      <c r="G356" s="371">
        <v>46184</v>
      </c>
      <c r="H356" s="371" t="s">
        <v>752</v>
      </c>
      <c r="I356" s="372"/>
      <c r="J356" s="372">
        <v>0.33333333333333331</v>
      </c>
      <c r="K356" s="372">
        <v>0.20833333333333334</v>
      </c>
      <c r="L356" s="372">
        <v>0.625</v>
      </c>
      <c r="M356" s="372">
        <v>0.54166666666666663</v>
      </c>
      <c r="N356" s="372">
        <v>8.3333333333333329E-2</v>
      </c>
      <c r="O356" s="372">
        <v>0.875</v>
      </c>
      <c r="P356" s="375" t="s">
        <v>297</v>
      </c>
      <c r="Q356" s="375"/>
      <c r="R356" s="376"/>
      <c r="S356" s="370">
        <f>VLOOKUP(Table2[[#This Row],[Course Title]],'TSD-Data'!$A$1:$E$70,4,FALSE)</f>
        <v>45</v>
      </c>
      <c r="T356" s="377">
        <f>VLOOKUP(Table2[[#This Row],[Course Title]],'TSD-Data'!$A$1:$F$70,6,FALSE)</f>
        <v>24</v>
      </c>
      <c r="U356" s="378">
        <f>VLOOKUP(Table2[[#This Row],[Course Title]],'TSD-Data'!$A$1:$F$70,5,FALSE)</f>
        <v>3</v>
      </c>
      <c r="V356" s="379">
        <v>470</v>
      </c>
      <c r="W356" s="377"/>
      <c r="X356" s="377"/>
      <c r="Y356" s="378"/>
      <c r="Z356" s="378"/>
      <c r="AA356" s="370"/>
      <c r="AB356" s="370"/>
      <c r="AC356" s="370"/>
      <c r="AD356" s="370"/>
      <c r="AE356" s="378">
        <f ca="1">Table2[[#This Row],[End Date]]+2-TODAY()</f>
        <v>368</v>
      </c>
      <c r="AF356" s="370">
        <f>IF(ISBLANK(Table2[[#This Row],[Roster Received by]]),1,0)</f>
        <v>1</v>
      </c>
      <c r="AG356" s="377">
        <f ca="1">IF(Table2[[#This Row],[Start Date]]&gt;TODAY(),1,)</f>
        <v>1</v>
      </c>
      <c r="AH356" s="377">
        <f>IF(ISBLANK(Table2[[#This Row],[Primary Instructor]]),0,1)</f>
        <v>1</v>
      </c>
      <c r="AI356" s="377">
        <f>IF(ISBLANK(Table2[[#This Row],[Instructor 2]]),0,1)</f>
        <v>0</v>
      </c>
      <c r="AJ356" s="377">
        <f>Table2[[#This Row],[Course Length (Hours)]]/(SUM(Table2[[#This Row],[1]:[2]]))</f>
        <v>24</v>
      </c>
      <c r="AK356" s="370"/>
      <c r="AL356" s="377">
        <v>3</v>
      </c>
      <c r="AM356" s="403" t="str">
        <f>VLOOKUP(Table2[[#This Row],[Course Title]],'TSD-Data'!$A$1:$G$70,7,FALSE)</f>
        <v>N3</v>
      </c>
    </row>
    <row r="357" spans="1:39" s="380" customFormat="1" x14ac:dyDescent="0.25">
      <c r="A357" s="413"/>
      <c r="B357" s="414" t="s">
        <v>35</v>
      </c>
      <c r="C357" s="370" t="str">
        <f>VLOOKUP(Table2[[#This Row],[Course Title]],'TSD-Data'!$A$1:$E$70,2,FALSE)</f>
        <v>A-493-2501</v>
      </c>
      <c r="D357" s="370" t="str">
        <f>VLOOKUP(Table2[[#This Row],[Course Title]],'TSD-Data'!$A$1:$E$70,3,FALSE)</f>
        <v>05ZE</v>
      </c>
      <c r="E357" s="414" t="s">
        <v>166</v>
      </c>
      <c r="F357" s="416">
        <v>46183</v>
      </c>
      <c r="G357" s="416">
        <v>46183</v>
      </c>
      <c r="H357" s="426" t="s">
        <v>753</v>
      </c>
      <c r="I357" s="417">
        <v>0.33333333333333331</v>
      </c>
      <c r="J357" s="417"/>
      <c r="K357" s="416"/>
      <c r="L357" s="416"/>
      <c r="M357" s="416"/>
      <c r="N357" s="416"/>
      <c r="O357" s="416"/>
      <c r="P357" s="418" t="s">
        <v>241</v>
      </c>
      <c r="Q357" s="418"/>
      <c r="R357" s="376"/>
      <c r="S357" s="370">
        <f>VLOOKUP(Table2[[#This Row],[Course Title]],'TSD-Data'!$A$1:$E$70,4,FALSE)</f>
        <v>30</v>
      </c>
      <c r="T357" s="377">
        <f>VLOOKUP(Table2[[#This Row],[Course Title]],'TSD-Data'!$A$1:$F$70,6,FALSE)</f>
        <v>8</v>
      </c>
      <c r="U357" s="378">
        <f>VLOOKUP(Table2[[#This Row],[Course Title]],'TSD-Data'!$A$1:$F$70,5,FALSE)</f>
        <v>1</v>
      </c>
      <c r="V357" s="379">
        <v>25</v>
      </c>
      <c r="W357" s="377"/>
      <c r="X357" s="377"/>
      <c r="Y357" s="420"/>
      <c r="Z357" s="420"/>
      <c r="AA357" s="415"/>
      <c r="AB357" s="415"/>
      <c r="AC357" s="421"/>
      <c r="AD357" s="421"/>
      <c r="AE357" s="420">
        <v>378</v>
      </c>
      <c r="AF357" s="415">
        <v>1</v>
      </c>
      <c r="AG357" s="403">
        <v>1</v>
      </c>
      <c r="AH357" s="403">
        <v>1</v>
      </c>
      <c r="AI357" s="403">
        <v>0</v>
      </c>
      <c r="AJ357" s="403">
        <v>8</v>
      </c>
      <c r="AK357" s="415"/>
      <c r="AL357" s="377">
        <v>3</v>
      </c>
      <c r="AM357" s="403" t="str">
        <f>VLOOKUP(Table2[[#This Row],[Course Title]],'TSD-Data'!$A$1:$G$70,7,FALSE)</f>
        <v>N4</v>
      </c>
    </row>
    <row r="358" spans="1:39" s="380" customFormat="1" x14ac:dyDescent="0.25">
      <c r="A358" s="413"/>
      <c r="B358" s="369" t="s">
        <v>31</v>
      </c>
      <c r="C358" s="370" t="str">
        <f>VLOOKUP(Table2[[#This Row],[Course Title]],'TSD-Data'!$A$1:$E$70,2,FALSE)</f>
        <v>A-493-0083</v>
      </c>
      <c r="D358" s="370" t="str">
        <f>VLOOKUP(Table2[[#This Row],[Course Title]],'TSD-Data'!$A$1:$E$70,3,FALSE)</f>
        <v>339E</v>
      </c>
      <c r="E358" s="414" t="s">
        <v>273</v>
      </c>
      <c r="F358" s="416">
        <v>46184</v>
      </c>
      <c r="G358" s="416">
        <v>46184</v>
      </c>
      <c r="H358" s="426" t="s">
        <v>753</v>
      </c>
      <c r="I358" s="417">
        <v>0.33333333333333331</v>
      </c>
      <c r="J358" s="417"/>
      <c r="K358" s="416"/>
      <c r="L358" s="416"/>
      <c r="M358" s="416"/>
      <c r="N358" s="416"/>
      <c r="O358" s="416"/>
      <c r="P358" s="418" t="s">
        <v>241</v>
      </c>
      <c r="Q358" s="418"/>
      <c r="R358" s="376"/>
      <c r="S358" s="370">
        <f>VLOOKUP(Table2[[#This Row],[Course Title]],'TSD-Data'!$A$1:$E$70,4,FALSE)</f>
        <v>30</v>
      </c>
      <c r="T358" s="377">
        <f>VLOOKUP(Table2[[#This Row],[Course Title]],'TSD-Data'!$A$1:$F$70,6,FALSE)</f>
        <v>8</v>
      </c>
      <c r="U358" s="378">
        <f>VLOOKUP(Table2[[#This Row],[Course Title]],'TSD-Data'!$A$1:$F$70,5,FALSE)</f>
        <v>1</v>
      </c>
      <c r="V358" s="379">
        <v>17</v>
      </c>
      <c r="W358" s="377"/>
      <c r="X358" s="377"/>
      <c r="Y358" s="420"/>
      <c r="Z358" s="420"/>
      <c r="AA358" s="415"/>
      <c r="AB358" s="415"/>
      <c r="AC358" s="421"/>
      <c r="AD358" s="421"/>
      <c r="AE358" s="420">
        <v>379</v>
      </c>
      <c r="AF358" s="415">
        <v>1</v>
      </c>
      <c r="AG358" s="403">
        <v>1</v>
      </c>
      <c r="AH358" s="403">
        <v>1</v>
      </c>
      <c r="AI358" s="403">
        <v>0</v>
      </c>
      <c r="AJ358" s="403">
        <v>8</v>
      </c>
      <c r="AK358" s="415"/>
      <c r="AL358" s="377">
        <v>3</v>
      </c>
      <c r="AM358" s="403" t="str">
        <f>VLOOKUP(Table2[[#This Row],[Course Title]],'TSD-Data'!$A$1:$G$70,7,FALSE)</f>
        <v>N4</v>
      </c>
    </row>
    <row r="359" spans="1:39" s="380" customFormat="1" x14ac:dyDescent="0.25">
      <c r="A359" s="424"/>
      <c r="B359" s="414" t="s">
        <v>35</v>
      </c>
      <c r="C359" s="370" t="str">
        <f>VLOOKUP(Table2[[#This Row],[Course Title]],'TSD-Data'!$A$1:$E$70,2,FALSE)</f>
        <v>A-493-2501</v>
      </c>
      <c r="D359" s="370" t="str">
        <f>VLOOKUP(Table2[[#This Row],[Course Title]],'TSD-Data'!$A$1:$E$70,3,FALSE)</f>
        <v>05ZE</v>
      </c>
      <c r="E359" s="414" t="s">
        <v>750</v>
      </c>
      <c r="F359" s="416">
        <v>46185</v>
      </c>
      <c r="G359" s="416">
        <v>46185</v>
      </c>
      <c r="H359" s="426" t="s">
        <v>753</v>
      </c>
      <c r="I359" s="372">
        <v>0.33333333333333331</v>
      </c>
      <c r="J359" s="417"/>
      <c r="K359" s="416"/>
      <c r="L359" s="416"/>
      <c r="M359" s="416"/>
      <c r="N359" s="416"/>
      <c r="O359" s="416"/>
      <c r="P359" s="418" t="s">
        <v>241</v>
      </c>
      <c r="Q359" s="418"/>
      <c r="R359" s="376"/>
      <c r="S359" s="370">
        <f>VLOOKUP(Table2[[#This Row],[Course Title]],'TSD-Data'!$A$1:$E$70,4,FALSE)</f>
        <v>30</v>
      </c>
      <c r="T359" s="377">
        <f>VLOOKUP(Table2[[#This Row],[Course Title]],'TSD-Data'!$A$1:$F$70,6,FALSE)</f>
        <v>8</v>
      </c>
      <c r="U359" s="378">
        <f>VLOOKUP(Table2[[#This Row],[Course Title]],'TSD-Data'!$A$1:$F$70,5,FALSE)</f>
        <v>1</v>
      </c>
      <c r="V359" s="379">
        <v>20</v>
      </c>
      <c r="W359" s="377"/>
      <c r="X359" s="377"/>
      <c r="Y359" s="420"/>
      <c r="Z359" s="420"/>
      <c r="AA359" s="415"/>
      <c r="AB359" s="415"/>
      <c r="AC359" s="421"/>
      <c r="AD359" s="421"/>
      <c r="AE359" s="420">
        <v>380</v>
      </c>
      <c r="AF359" s="415">
        <v>1</v>
      </c>
      <c r="AG359" s="403">
        <v>1</v>
      </c>
      <c r="AH359" s="403">
        <v>1</v>
      </c>
      <c r="AI359" s="403">
        <v>0</v>
      </c>
      <c r="AJ359" s="403">
        <v>8</v>
      </c>
      <c r="AK359" s="415"/>
      <c r="AL359" s="377">
        <v>3</v>
      </c>
      <c r="AM359" s="403" t="str">
        <f>VLOOKUP(Table2[[#This Row],[Course Title]],'TSD-Data'!$A$1:$G$70,7,FALSE)</f>
        <v>N4</v>
      </c>
    </row>
    <row r="360" spans="1:39" s="380" customFormat="1" x14ac:dyDescent="0.25">
      <c r="A360" s="368"/>
      <c r="B360" s="369" t="s">
        <v>59</v>
      </c>
      <c r="C360" s="370" t="str">
        <f>VLOOKUP(Table2[[#This Row],[Course Title]],'TSD-Data'!$A$1:$E$70,2,FALSE)</f>
        <v>A-493-0550</v>
      </c>
      <c r="D360" s="370" t="str">
        <f>VLOOKUP(Table2[[#This Row],[Course Title]],'TSD-Data'!$A$1:$E$70,3,FALSE)</f>
        <v>09K5</v>
      </c>
      <c r="E360" s="369" t="s">
        <v>86</v>
      </c>
      <c r="F360" s="371">
        <v>46188</v>
      </c>
      <c r="G360" s="371">
        <v>46191</v>
      </c>
      <c r="H360" s="371" t="s">
        <v>752</v>
      </c>
      <c r="I360" s="372"/>
      <c r="J360" s="440">
        <v>0.79166666666666663</v>
      </c>
      <c r="K360" s="439">
        <v>0.66666666666666663</v>
      </c>
      <c r="L360" s="439">
        <v>8.3333333333333329E-2</v>
      </c>
      <c r="M360" s="439">
        <v>0</v>
      </c>
      <c r="N360" s="439">
        <v>0.54166666666666663</v>
      </c>
      <c r="O360" s="439">
        <v>0.33333333333333331</v>
      </c>
      <c r="P360" s="375" t="s">
        <v>272</v>
      </c>
      <c r="Q360" s="375"/>
      <c r="R360" s="376"/>
      <c r="S360" s="370">
        <f>VLOOKUP(Table2[[#This Row],[Course Title]],'TSD-Data'!$A$1:$E$70,4,FALSE)</f>
        <v>45</v>
      </c>
      <c r="T360" s="377">
        <f>VLOOKUP(Table2[[#This Row],[Course Title]],'TSD-Data'!$A$1:$F$70,6,FALSE)</f>
        <v>32</v>
      </c>
      <c r="U360" s="378">
        <f>VLOOKUP(Table2[[#This Row],[Course Title]],'TSD-Data'!$A$1:$F$70,5,FALSE)</f>
        <v>4</v>
      </c>
      <c r="V360" s="379">
        <v>180</v>
      </c>
      <c r="W360" s="377"/>
      <c r="X360" s="377"/>
      <c r="Y360" s="378"/>
      <c r="Z360" s="378"/>
      <c r="AA360" s="370"/>
      <c r="AB360" s="370"/>
      <c r="AC360" s="370"/>
      <c r="AD360" s="370"/>
      <c r="AE360" s="378">
        <f ca="1">Table2[[#This Row],[End Date]]+2-TODAY()</f>
        <v>375</v>
      </c>
      <c r="AF360" s="370">
        <f>IF(ISBLANK(Table2[[#This Row],[Roster Received by]]),1,0)</f>
        <v>1</v>
      </c>
      <c r="AG360" s="377">
        <f ca="1">IF(Table2[[#This Row],[Start Date]]&gt;TODAY(),1,)</f>
        <v>1</v>
      </c>
      <c r="AH360" s="377">
        <f>IF(ISBLANK(Table2[[#This Row],[Primary Instructor]]),0,1)</f>
        <v>1</v>
      </c>
      <c r="AI360" s="377">
        <f>IF(ISBLANK(Table2[[#This Row],[Instructor 2]]),0,1)</f>
        <v>0</v>
      </c>
      <c r="AJ360" s="377">
        <f>Table2[[#This Row],[Course Length (Hours)]]/(SUM(Table2[[#This Row],[1]:[2]]))</f>
        <v>32</v>
      </c>
      <c r="AK360" s="370"/>
      <c r="AL360" s="377">
        <v>3</v>
      </c>
      <c r="AM360" s="403" t="str">
        <f>VLOOKUP(Table2[[#This Row],[Course Title]],'TSD-Data'!$A$1:$G$70,7,FALSE)</f>
        <v>N5</v>
      </c>
    </row>
    <row r="361" spans="1:39" s="380" customFormat="1" x14ac:dyDescent="0.25">
      <c r="A361" s="368"/>
      <c r="B361" s="369" t="s">
        <v>61</v>
      </c>
      <c r="C361" s="370" t="str">
        <f>VLOOKUP(Table2[[#This Row],[Course Title]],'TSD-Data'!$A$1:$E$70,2,FALSE)</f>
        <v>A-493-0078</v>
      </c>
      <c r="D361" s="370">
        <f>VLOOKUP(Table2[[#This Row],[Course Title]],'TSD-Data'!$A$1:$E$70,3,FALSE)</f>
        <v>1228</v>
      </c>
      <c r="E361" s="369" t="s">
        <v>86</v>
      </c>
      <c r="F361" s="371">
        <v>46188</v>
      </c>
      <c r="G361" s="371">
        <v>46191</v>
      </c>
      <c r="H361" s="371" t="s">
        <v>752</v>
      </c>
      <c r="I361" s="372"/>
      <c r="J361" s="372">
        <v>0.79166666666666663</v>
      </c>
      <c r="K361" s="381">
        <v>0.66666666666666663</v>
      </c>
      <c r="L361" s="381">
        <v>8.3333333333333329E-2</v>
      </c>
      <c r="M361" s="381">
        <v>0</v>
      </c>
      <c r="N361" s="381">
        <v>0.54166666666666663</v>
      </c>
      <c r="O361" s="381">
        <v>0.33333333333333331</v>
      </c>
      <c r="P361" s="375" t="s">
        <v>256</v>
      </c>
      <c r="Q361" s="375"/>
      <c r="R361" s="376"/>
      <c r="S361" s="370">
        <f>VLOOKUP(Table2[[#This Row],[Course Title]],'TSD-Data'!$A$1:$E$70,4,FALSE)</f>
        <v>45</v>
      </c>
      <c r="T361" s="377">
        <f>VLOOKUP(Table2[[#This Row],[Course Title]],'TSD-Data'!$A$1:$F$70,6,FALSE)</f>
        <v>32</v>
      </c>
      <c r="U361" s="378">
        <f>VLOOKUP(Table2[[#This Row],[Course Title]],'TSD-Data'!$A$1:$F$70,5,FALSE)</f>
        <v>4</v>
      </c>
      <c r="V361" s="379">
        <v>181</v>
      </c>
      <c r="W361" s="377"/>
      <c r="X361" s="377"/>
      <c r="Y361" s="378"/>
      <c r="Z361" s="378"/>
      <c r="AA361" s="370"/>
      <c r="AB361" s="370"/>
      <c r="AC361" s="370"/>
      <c r="AD361" s="370"/>
      <c r="AE361" s="378">
        <f ca="1">Table2[[#This Row],[End Date]]+2-TODAY()</f>
        <v>375</v>
      </c>
      <c r="AF361" s="370">
        <f>IF(ISBLANK(Table2[[#This Row],[Roster Received by]]),1,0)</f>
        <v>1</v>
      </c>
      <c r="AG361" s="377">
        <f ca="1">IF(Table2[[#This Row],[Start Date]]&gt;TODAY(),1,)</f>
        <v>1</v>
      </c>
      <c r="AH361" s="377">
        <f>IF(ISBLANK(Table2[[#This Row],[Primary Instructor]]),0,1)</f>
        <v>1</v>
      </c>
      <c r="AI361" s="377">
        <f>IF(ISBLANK(Table2[[#This Row],[Instructor 2]]),0,1)</f>
        <v>0</v>
      </c>
      <c r="AJ361" s="377">
        <f>Table2[[#This Row],[Course Length (Hours)]]/(SUM(Table2[[#This Row],[1]:[2]]))</f>
        <v>32</v>
      </c>
      <c r="AK361" s="370"/>
      <c r="AL361" s="377">
        <v>3</v>
      </c>
      <c r="AM361" s="403" t="str">
        <f>VLOOKUP(Table2[[#This Row],[Course Title]],'TSD-Data'!$A$1:$G$70,7,FALSE)</f>
        <v>N5</v>
      </c>
    </row>
    <row r="362" spans="1:39" s="380" customFormat="1" x14ac:dyDescent="0.25">
      <c r="A362" s="368"/>
      <c r="B362" s="436" t="s">
        <v>49</v>
      </c>
      <c r="C362" s="370" t="str">
        <f>VLOOKUP(Table2[[#This Row],[Course Title]],'TSD-Data'!$A$1:$E$70,2,FALSE)</f>
        <v>A-493-0092</v>
      </c>
      <c r="D362" s="370">
        <f>VLOOKUP(Table2[[#This Row],[Course Title]],'TSD-Data'!$A$1:$E$70,3,FALSE)</f>
        <v>5891</v>
      </c>
      <c r="E362" s="369" t="s">
        <v>165</v>
      </c>
      <c r="F362" s="371">
        <v>46189</v>
      </c>
      <c r="G362" s="371">
        <v>46191</v>
      </c>
      <c r="H362" s="371" t="s">
        <v>752</v>
      </c>
      <c r="I362" s="372">
        <v>0.33333333333333331</v>
      </c>
      <c r="J362" s="372"/>
      <c r="K362" s="371"/>
      <c r="L362" s="371"/>
      <c r="M362" s="371"/>
      <c r="N362" s="371"/>
      <c r="O362" s="371"/>
      <c r="P362" s="375" t="s">
        <v>292</v>
      </c>
      <c r="Q362" s="375"/>
      <c r="R362" s="376" t="s">
        <v>268</v>
      </c>
      <c r="S362" s="370">
        <f>VLOOKUP(Table2[[#This Row],[Course Title]],'TSD-Data'!$A$1:$E$70,4,FALSE)</f>
        <v>25</v>
      </c>
      <c r="T362" s="377">
        <f>VLOOKUP(Table2[[#This Row],[Course Title]],'TSD-Data'!$A$1:$F$70,6,FALSE)</f>
        <v>24</v>
      </c>
      <c r="U362" s="378">
        <f>VLOOKUP(Table2[[#This Row],[Course Title]],'TSD-Data'!$A$1:$F$70,5,FALSE)</f>
        <v>3</v>
      </c>
      <c r="V362" s="379">
        <v>49</v>
      </c>
      <c r="W362" s="377"/>
      <c r="X362" s="377"/>
      <c r="Y362" s="378"/>
      <c r="Z362" s="378"/>
      <c r="AA362" s="370"/>
      <c r="AB362" s="370"/>
      <c r="AC362" s="370"/>
      <c r="AD362" s="370"/>
      <c r="AE362" s="378">
        <f ca="1">Table2[[#This Row],[End Date]]+2-TODAY()</f>
        <v>375</v>
      </c>
      <c r="AF362" s="370">
        <f>IF(ISBLANK(Table2[[#This Row],[Roster Received by]]),1,0)</f>
        <v>1</v>
      </c>
      <c r="AG362" s="377">
        <f ca="1">IF(Table2[[#This Row],[Start Date]]&gt;TODAY(),1,)</f>
        <v>1</v>
      </c>
      <c r="AH362" s="377">
        <f>IF(ISBLANK(Table2[[#This Row],[Primary Instructor]]),0,1)</f>
        <v>1</v>
      </c>
      <c r="AI362" s="377">
        <f>IF(ISBLANK(Table2[[#This Row],[Instructor 2]]),0,1)</f>
        <v>0</v>
      </c>
      <c r="AJ362" s="377">
        <f>Table2[[#This Row],[Course Length (Hours)]]/(SUM(Table2[[#This Row],[1]:[2]]))</f>
        <v>24</v>
      </c>
      <c r="AK362" s="370"/>
      <c r="AL362" s="377">
        <v>3</v>
      </c>
      <c r="AM362" s="403" t="str">
        <f>VLOOKUP(Table2[[#This Row],[Course Title]],'TSD-Data'!$A$1:$G$70,7,FALSE)</f>
        <v>N3</v>
      </c>
    </row>
    <row r="363" spans="1:39" s="380" customFormat="1" x14ac:dyDescent="0.25">
      <c r="A363" s="369" t="s">
        <v>485</v>
      </c>
      <c r="B363" s="369" t="s">
        <v>181</v>
      </c>
      <c r="C363" s="370" t="str">
        <f>VLOOKUP(Table2[[#This Row],[Course Title]],'TSD-Data'!$A$1:$E$70,2,FALSE)</f>
        <v>Holiday</v>
      </c>
      <c r="D363" s="370" t="str">
        <f>VLOOKUP(Table2[[#This Row],[Course Title]],'TSD-Data'!$A$1:$E$70,3,FALSE)</f>
        <v>Holiday</v>
      </c>
      <c r="E363" s="369" t="s">
        <v>181</v>
      </c>
      <c r="F363" s="371">
        <v>46192</v>
      </c>
      <c r="G363" s="371">
        <v>46192</v>
      </c>
      <c r="H363" s="371" t="s">
        <v>788</v>
      </c>
      <c r="I363" s="372"/>
      <c r="J363" s="372"/>
      <c r="K363" s="371"/>
      <c r="L363" s="371"/>
      <c r="M363" s="371"/>
      <c r="N363" s="371"/>
      <c r="O363" s="371"/>
      <c r="P363" s="375" t="s">
        <v>322</v>
      </c>
      <c r="Q363" s="375"/>
      <c r="R363" s="398"/>
      <c r="S363" s="370">
        <f>VLOOKUP(Table2[[#This Row],[Course Title]],'TSD-Data'!$A$1:$E$70,4,FALSE)</f>
        <v>0</v>
      </c>
      <c r="T363" s="377">
        <f>VLOOKUP(Table2[[#This Row],[Course Title]],'TSD-Data'!$A$1:$F$70,6,FALSE)</f>
        <v>0</v>
      </c>
      <c r="U363" s="378">
        <f>VLOOKUP(Table2[[#This Row],[Course Title]],'TSD-Data'!$A$1:$F$70,5,FALSE)</f>
        <v>0</v>
      </c>
      <c r="V363" s="379">
        <v>0</v>
      </c>
      <c r="W363" s="377">
        <v>0</v>
      </c>
      <c r="X363" s="377">
        <v>0</v>
      </c>
      <c r="Y363" s="377">
        <v>0</v>
      </c>
      <c r="Z363" s="377">
        <v>0</v>
      </c>
      <c r="AA363" s="377">
        <v>0</v>
      </c>
      <c r="AB363" s="377">
        <v>0</v>
      </c>
      <c r="AC363" s="377">
        <v>0</v>
      </c>
      <c r="AD363" s="377" t="s">
        <v>247</v>
      </c>
      <c r="AE363" s="379">
        <f ca="1">Table2[[#This Row],[End Date]]+2-TODAY()</f>
        <v>376</v>
      </c>
      <c r="AF363" s="377">
        <f>IF(ISBLANK(Table2[[#This Row],[Roster Received by]]),1,0)</f>
        <v>0</v>
      </c>
      <c r="AG363" s="377">
        <f ca="1">IF(Table2[[#This Row],[Start Date]]&gt;TODAY(),1,)</f>
        <v>1</v>
      </c>
      <c r="AH363" s="377">
        <f>IF(ISBLANK(Table2[[#This Row],[Primary Instructor]]),0,1)</f>
        <v>1</v>
      </c>
      <c r="AI363" s="377">
        <f>IF(ISBLANK(Table2[[#This Row],[Instructor 2]]),0,1)</f>
        <v>0</v>
      </c>
      <c r="AJ363" s="377">
        <f>Table2[[#This Row],[Course Length (Hours)]]/(SUM(Table2[[#This Row],[1]:[2]]))</f>
        <v>0</v>
      </c>
      <c r="AK363" s="377"/>
      <c r="AL363" s="377">
        <v>3</v>
      </c>
      <c r="AM363" s="403" t="str">
        <f>VLOOKUP(Table2[[#This Row],[Course Title]],'TSD-Data'!$A$1:$G$70,7,FALSE)</f>
        <v>TSD</v>
      </c>
    </row>
    <row r="364" spans="1:39" s="380" customFormat="1" x14ac:dyDescent="0.25">
      <c r="A364" s="369"/>
      <c r="B364" s="432" t="s">
        <v>15</v>
      </c>
      <c r="C364" s="370" t="str">
        <f>VLOOKUP(Table2[[#This Row],[Course Title]],'TSD-Data'!$A$1:$E$70,2,FALSE)</f>
        <v>A-4J-0022</v>
      </c>
      <c r="D364" s="370" t="str">
        <f>VLOOKUP(Table2[[#This Row],[Course Title]],'TSD-Data'!$A$1:$E$70,3,FALSE)</f>
        <v>09ER</v>
      </c>
      <c r="E364" s="432" t="s">
        <v>86</v>
      </c>
      <c r="F364" s="371">
        <v>46195</v>
      </c>
      <c r="G364" s="371">
        <v>46199</v>
      </c>
      <c r="H364" s="371" t="s">
        <v>752</v>
      </c>
      <c r="I364" s="372"/>
      <c r="J364" s="372">
        <v>0.33333333333333331</v>
      </c>
      <c r="K364" s="372">
        <v>0.20833333333333334</v>
      </c>
      <c r="L364" s="372">
        <v>0.625</v>
      </c>
      <c r="M364" s="372">
        <v>0.54166666666666663</v>
      </c>
      <c r="N364" s="372">
        <v>8.3333333333333329E-2</v>
      </c>
      <c r="O364" s="372">
        <v>0.875</v>
      </c>
      <c r="P364" s="375" t="s">
        <v>238</v>
      </c>
      <c r="Q364" s="375"/>
      <c r="R364" s="375"/>
      <c r="S364" s="370">
        <f>VLOOKUP(Table2[[#This Row],[Course Title]],'TSD-Data'!$A$1:$E$70,4,FALSE)</f>
        <v>45</v>
      </c>
      <c r="T364" s="377">
        <f>VLOOKUP(Table2[[#This Row],[Course Title]],'TSD-Data'!$A$1:$F$70,6,FALSE)</f>
        <v>16</v>
      </c>
      <c r="U364" s="378">
        <f>VLOOKUP(Table2[[#This Row],[Course Title]],'TSD-Data'!$A$1:$F$70,5,FALSE)</f>
        <v>2</v>
      </c>
      <c r="V364" s="379">
        <v>141</v>
      </c>
      <c r="W364" s="377"/>
      <c r="X364" s="377"/>
      <c r="Y364" s="379"/>
      <c r="Z364" s="379"/>
      <c r="AA364" s="377"/>
      <c r="AB364" s="377"/>
      <c r="AC364" s="377"/>
      <c r="AD364" s="377"/>
      <c r="AE364" s="379">
        <f ca="1">Table2[[#This Row],[End Date]]+2-TODAY()</f>
        <v>383</v>
      </c>
      <c r="AF364" s="377">
        <f>IF(ISBLANK(Table2[[#This Row],[Roster Received by]]),1,0)</f>
        <v>1</v>
      </c>
      <c r="AG364" s="377">
        <f ca="1">IF(Table2[[#This Row],[Start Date]]&gt;TODAY(),1,)</f>
        <v>1</v>
      </c>
      <c r="AH364" s="377">
        <f>IF(ISBLANK(Table2[[#This Row],[Primary Instructor]]),0,1)</f>
        <v>1</v>
      </c>
      <c r="AI364" s="377">
        <f>IF(ISBLANK(Table2[[#This Row],[Instructor 2]]),0,1)</f>
        <v>0</v>
      </c>
      <c r="AJ364" s="377">
        <f>Table2[[#This Row],[Course Length (Hours)]]/(SUM(Table2[[#This Row],[1]:[2]]))</f>
        <v>16</v>
      </c>
      <c r="AK364" s="377"/>
      <c r="AL364" s="377">
        <v>3</v>
      </c>
      <c r="AM364" s="403" t="str">
        <f>VLOOKUP(Table2[[#This Row],[Course Title]],'TSD-Data'!$A$1:$G$70,7,FALSE)</f>
        <v>N4</v>
      </c>
    </row>
    <row r="365" spans="1:39" s="380" customFormat="1" x14ac:dyDescent="0.25">
      <c r="A365" s="368"/>
      <c r="B365" s="434" t="s">
        <v>55</v>
      </c>
      <c r="C365" s="370" t="str">
        <f>VLOOKUP(Table2[[#This Row],[Course Title]],'TSD-Data'!$A$1:$E$70,2,FALSE)</f>
        <v>A-493-0103</v>
      </c>
      <c r="D365" s="370" t="str">
        <f>VLOOKUP(Table2[[#This Row],[Course Title]],'TSD-Data'!$A$1:$E$70,3,FALSE)</f>
        <v>12JY</v>
      </c>
      <c r="E365" s="383" t="s">
        <v>179</v>
      </c>
      <c r="F365" s="382">
        <v>46195</v>
      </c>
      <c r="G365" s="382">
        <v>46199</v>
      </c>
      <c r="H365" s="371" t="s">
        <v>752</v>
      </c>
      <c r="I365" s="372">
        <v>0.33333333333333331</v>
      </c>
      <c r="J365" s="372"/>
      <c r="K365" s="371"/>
      <c r="L365" s="371"/>
      <c r="M365" s="371"/>
      <c r="N365" s="371"/>
      <c r="O365" s="371"/>
      <c r="P365" s="375" t="s">
        <v>289</v>
      </c>
      <c r="Q365" s="375"/>
      <c r="R365" s="376"/>
      <c r="S365" s="370">
        <f>VLOOKUP(Table2[[#This Row],[Course Title]],'TSD-Data'!$A$1:$E$70,4,FALSE)</f>
        <v>25</v>
      </c>
      <c r="T365" s="377">
        <f>VLOOKUP(Table2[[#This Row],[Course Title]],'TSD-Data'!$A$1:$F$70,6,FALSE)</f>
        <v>40</v>
      </c>
      <c r="U365" s="378">
        <f>VLOOKUP(Table2[[#This Row],[Course Title]],'TSD-Data'!$A$1:$F$70,5,FALSE)</f>
        <v>5</v>
      </c>
      <c r="V365" s="379">
        <v>107</v>
      </c>
      <c r="W365" s="377"/>
      <c r="X365" s="377"/>
      <c r="Y365" s="378"/>
      <c r="Z365" s="378"/>
      <c r="AA365" s="370"/>
      <c r="AB365" s="370"/>
      <c r="AC365" s="370"/>
      <c r="AD365" s="370"/>
      <c r="AE365" s="378">
        <f ca="1">Table2[[#This Row],[End Date]]+2-TODAY()</f>
        <v>383</v>
      </c>
      <c r="AF365" s="370">
        <f>IF(ISBLANK(Table2[[#This Row],[Roster Received by]]),1,0)</f>
        <v>1</v>
      </c>
      <c r="AG365" s="377">
        <f ca="1">IF(Table2[[#This Row],[Start Date]]&gt;TODAY(),1,)</f>
        <v>1</v>
      </c>
      <c r="AH365" s="377">
        <f>IF(ISBLANK(Table2[[#This Row],[Primary Instructor]]),0,1)</f>
        <v>1</v>
      </c>
      <c r="AI365" s="377">
        <f>IF(ISBLANK(Table2[[#This Row],[Instructor 2]]),0,1)</f>
        <v>0</v>
      </c>
      <c r="AJ365" s="377">
        <f>Table2[[#This Row],[Course Length (Hours)]]/(SUM(Table2[[#This Row],[1]:[2]]))</f>
        <v>40</v>
      </c>
      <c r="AK365" s="370"/>
      <c r="AL365" s="377">
        <v>3</v>
      </c>
      <c r="AM365" s="403" t="str">
        <f>VLOOKUP(Table2[[#This Row],[Course Title]],'TSD-Data'!$A$1:$G$70,7,FALSE)</f>
        <v>N5</v>
      </c>
    </row>
    <row r="366" spans="1:39" s="380" customFormat="1" x14ac:dyDescent="0.25">
      <c r="A366" s="368"/>
      <c r="B366" s="434" t="s">
        <v>56</v>
      </c>
      <c r="C366" s="370" t="str">
        <f>VLOOKUP(Table2[[#This Row],[Course Title]],'TSD-Data'!$A$1:$E$70,2,FALSE)</f>
        <v>A-493-0021</v>
      </c>
      <c r="D366" s="370" t="str">
        <f>VLOOKUP(Table2[[#This Row],[Course Title]],'TSD-Data'!$A$1:$E$70,3,FALSE)</f>
        <v>18BN</v>
      </c>
      <c r="E366" s="369" t="s">
        <v>175</v>
      </c>
      <c r="F366" s="371">
        <v>46195</v>
      </c>
      <c r="G366" s="371">
        <v>46199</v>
      </c>
      <c r="H366" s="371" t="s">
        <v>752</v>
      </c>
      <c r="I366" s="372">
        <v>0.33333333333333331</v>
      </c>
      <c r="J366" s="372"/>
      <c r="K366" s="371"/>
      <c r="L366" s="371"/>
      <c r="M366" s="371"/>
      <c r="N366" s="371"/>
      <c r="O366" s="371"/>
      <c r="P366" s="375" t="s">
        <v>289</v>
      </c>
      <c r="Q366" s="375"/>
      <c r="R366" s="376"/>
      <c r="S366" s="370">
        <f>VLOOKUP(Table2[[#This Row],[Course Title]],'TSD-Data'!$A$1:$E$70,4,FALSE)</f>
        <v>35</v>
      </c>
      <c r="T366" s="377">
        <f>VLOOKUP(Table2[[#This Row],[Course Title]],'TSD-Data'!$A$1:$F$70,6,FALSE)</f>
        <v>30</v>
      </c>
      <c r="U366" s="378">
        <f>VLOOKUP(Table2[[#This Row],[Course Title]],'TSD-Data'!$A$1:$F$70,5,FALSE)</f>
        <v>5</v>
      </c>
      <c r="V366" s="379">
        <v>20</v>
      </c>
      <c r="W366" s="377"/>
      <c r="X366" s="377"/>
      <c r="Y366" s="378"/>
      <c r="Z366" s="378"/>
      <c r="AA366" s="370"/>
      <c r="AB366" s="370"/>
      <c r="AC366" s="370"/>
      <c r="AD366" s="370"/>
      <c r="AE366" s="378">
        <f ca="1">Table2[[#This Row],[End Date]]+2-TODAY()</f>
        <v>383</v>
      </c>
      <c r="AF366" s="370">
        <f>IF(ISBLANK(Table2[[#This Row],[Roster Received by]]),1,0)</f>
        <v>1</v>
      </c>
      <c r="AG366" s="377">
        <f ca="1">IF(Table2[[#This Row],[Start Date]]&gt;TODAY(),1,)</f>
        <v>1</v>
      </c>
      <c r="AH366" s="377">
        <f>IF(ISBLANK(Table2[[#This Row],[Primary Instructor]]),0,1)</f>
        <v>1</v>
      </c>
      <c r="AI366" s="377">
        <f>IF(ISBLANK(Table2[[#This Row],[Instructor 2]]),0,1)</f>
        <v>0</v>
      </c>
      <c r="AJ366" s="377">
        <f>Table2[[#This Row],[Course Length (Hours)]]/(SUM(Table2[[#This Row],[1]:[2]]))</f>
        <v>30</v>
      </c>
      <c r="AK366" s="370"/>
      <c r="AL366" s="377">
        <v>3</v>
      </c>
      <c r="AM366" s="403" t="str">
        <f>VLOOKUP(Table2[[#This Row],[Course Title]],'TSD-Data'!$A$1:$G$70,7,FALSE)</f>
        <v>N5</v>
      </c>
    </row>
    <row r="367" spans="1:39" s="380" customFormat="1" x14ac:dyDescent="0.25">
      <c r="A367" s="368"/>
      <c r="B367" s="434" t="s">
        <v>38</v>
      </c>
      <c r="C367" s="370" t="str">
        <f>VLOOKUP(Table2[[#This Row],[Course Title]],'TSD-Data'!$A$1:$E$70,2,FALSE)</f>
        <v>A-493-0061</v>
      </c>
      <c r="D367" s="370" t="str">
        <f>VLOOKUP(Table2[[#This Row],[Course Title]],'TSD-Data'!$A$1:$E$70,3,FALSE)</f>
        <v>288E</v>
      </c>
      <c r="E367" s="369" t="s">
        <v>86</v>
      </c>
      <c r="F367" s="371">
        <v>46195</v>
      </c>
      <c r="G367" s="371">
        <v>46198</v>
      </c>
      <c r="H367" s="371" t="s">
        <v>752</v>
      </c>
      <c r="I367" s="372"/>
      <c r="J367" s="374">
        <v>0.33333333333333331</v>
      </c>
      <c r="K367" s="372">
        <v>0.20833333333333334</v>
      </c>
      <c r="L367" s="372">
        <v>0.625</v>
      </c>
      <c r="M367" s="372">
        <v>0.54166666666666663</v>
      </c>
      <c r="N367" s="372">
        <v>8.3333333333333329E-2</v>
      </c>
      <c r="O367" s="372">
        <v>0.875</v>
      </c>
      <c r="P367" s="375" t="s">
        <v>274</v>
      </c>
      <c r="Q367" s="375"/>
      <c r="R367" s="376"/>
      <c r="S367" s="370">
        <f>VLOOKUP(Table2[[#This Row],[Course Title]],'TSD-Data'!$A$1:$E$70,4,FALSE)</f>
        <v>45</v>
      </c>
      <c r="T367" s="377">
        <f>VLOOKUP(Table2[[#This Row],[Course Title]],'TSD-Data'!$A$1:$F$70,6,FALSE)</f>
        <v>30</v>
      </c>
      <c r="U367" s="378">
        <f>VLOOKUP(Table2[[#This Row],[Course Title]],'TSD-Data'!$A$1:$F$70,5,FALSE)</f>
        <v>4</v>
      </c>
      <c r="V367" s="379">
        <v>366</v>
      </c>
      <c r="W367" s="377"/>
      <c r="X367" s="377"/>
      <c r="Y367" s="378"/>
      <c r="Z367" s="378"/>
      <c r="AA367" s="370"/>
      <c r="AB367" s="370"/>
      <c r="AC367" s="370"/>
      <c r="AD367" s="370"/>
      <c r="AE367" s="378">
        <f ca="1">Table2[[#This Row],[End Date]]+2-TODAY()</f>
        <v>382</v>
      </c>
      <c r="AF367" s="370">
        <f>IF(ISBLANK(Table2[[#This Row],[Roster Received by]]),1,0)</f>
        <v>1</v>
      </c>
      <c r="AG367" s="377">
        <f ca="1">IF(Table2[[#This Row],[Start Date]]&gt;TODAY(),1,)</f>
        <v>1</v>
      </c>
      <c r="AH367" s="377">
        <f>IF(ISBLANK(Table2[[#This Row],[Primary Instructor]]),0,1)</f>
        <v>1</v>
      </c>
      <c r="AI367" s="377">
        <f>IF(ISBLANK(Table2[[#This Row],[Instructor 2]]),0,1)</f>
        <v>0</v>
      </c>
      <c r="AJ367" s="377">
        <f>Table2[[#This Row],[Course Length (Hours)]]/(SUM(Table2[[#This Row],[1]:[2]]))</f>
        <v>30</v>
      </c>
      <c r="AK367" s="370"/>
      <c r="AL367" s="377">
        <v>3</v>
      </c>
      <c r="AM367" s="403" t="str">
        <f>VLOOKUP(Table2[[#This Row],[Course Title]],'TSD-Data'!$A$1:$G$70,7,FALSE)</f>
        <v>N5</v>
      </c>
    </row>
    <row r="368" spans="1:39" s="380" customFormat="1" x14ac:dyDescent="0.25">
      <c r="A368" s="368"/>
      <c r="B368" s="434" t="s">
        <v>51</v>
      </c>
      <c r="C368" s="370" t="str">
        <f>VLOOKUP(Table2[[#This Row],[Course Title]],'TSD-Data'!$A$1:$E$70,2,FALSE)</f>
        <v>A-493-0335</v>
      </c>
      <c r="D368" s="370" t="str">
        <f>VLOOKUP(Table2[[#This Row],[Course Title]],'TSD-Data'!$A$1:$E$70,3,FALSE)</f>
        <v>09ND</v>
      </c>
      <c r="E368" s="369" t="s">
        <v>86</v>
      </c>
      <c r="F368" s="371">
        <v>46195</v>
      </c>
      <c r="G368" s="371">
        <v>46198</v>
      </c>
      <c r="H368" s="371" t="s">
        <v>752</v>
      </c>
      <c r="I368" s="372"/>
      <c r="J368" s="374">
        <v>0.5</v>
      </c>
      <c r="K368" s="381">
        <v>0.375</v>
      </c>
      <c r="L368" s="381">
        <v>0.79166666666666663</v>
      </c>
      <c r="M368" s="381">
        <v>0.75</v>
      </c>
      <c r="N368" s="381">
        <v>0.25</v>
      </c>
      <c r="O368" s="381">
        <v>4.1666666666666664E-2</v>
      </c>
      <c r="P368" s="375" t="s">
        <v>293</v>
      </c>
      <c r="Q368" s="375"/>
      <c r="R368" s="376"/>
      <c r="S368" s="370">
        <f>VLOOKUP(Table2[[#This Row],[Course Title]],'TSD-Data'!$A$1:$E$70,4,FALSE)</f>
        <v>45</v>
      </c>
      <c r="T368" s="377">
        <f>VLOOKUP(Table2[[#This Row],[Course Title]],'TSD-Data'!$A$1:$F$70,6,FALSE)</f>
        <v>32</v>
      </c>
      <c r="U368" s="378">
        <f>VLOOKUP(Table2[[#This Row],[Course Title]],'TSD-Data'!$A$1:$F$70,5,FALSE)</f>
        <v>4</v>
      </c>
      <c r="V368" s="379">
        <v>537</v>
      </c>
      <c r="W368" s="377"/>
      <c r="X368" s="377"/>
      <c r="Y368" s="378"/>
      <c r="Z368" s="378"/>
      <c r="AA368" s="370"/>
      <c r="AB368" s="370"/>
      <c r="AC368" s="370"/>
      <c r="AD368" s="370"/>
      <c r="AE368" s="378">
        <f ca="1">Table2[[#This Row],[End Date]]+2-TODAY()</f>
        <v>382</v>
      </c>
      <c r="AF368" s="370">
        <f>IF(ISBLANK(Table2[[#This Row],[Roster Received by]]),1,0)</f>
        <v>1</v>
      </c>
      <c r="AG368" s="377">
        <f ca="1">IF(Table2[[#This Row],[Start Date]]&gt;TODAY(),1,)</f>
        <v>1</v>
      </c>
      <c r="AH368" s="377">
        <f>IF(ISBLANK(Table2[[#This Row],[Primary Instructor]]),0,1)</f>
        <v>1</v>
      </c>
      <c r="AI368" s="377">
        <f>IF(ISBLANK(Table2[[#This Row],[Instructor 2]]),0,1)</f>
        <v>0</v>
      </c>
      <c r="AJ368" s="377">
        <f>Table2[[#This Row],[Course Length (Hours)]]/(SUM(Table2[[#This Row],[1]:[2]]))</f>
        <v>32</v>
      </c>
      <c r="AK368" s="370"/>
      <c r="AL368" s="377">
        <v>3</v>
      </c>
      <c r="AM368" s="403" t="str">
        <f>VLOOKUP(Table2[[#This Row],[Course Title]],'TSD-Data'!$A$1:$G$70,7,FALSE)</f>
        <v>N3</v>
      </c>
    </row>
    <row r="369" spans="1:39" s="380" customFormat="1" x14ac:dyDescent="0.25">
      <c r="A369" s="368"/>
      <c r="B369" s="434" t="s">
        <v>52</v>
      </c>
      <c r="C369" s="370" t="str">
        <f>VLOOKUP(Table2[[#This Row],[Course Title]],'TSD-Data'!$A$1:$E$70,2,FALSE)</f>
        <v>A-493-0085</v>
      </c>
      <c r="D369" s="370">
        <f>VLOOKUP(Table2[[#This Row],[Course Title]],'TSD-Data'!$A$1:$E$70,3,FALSE)</f>
        <v>3555</v>
      </c>
      <c r="E369" s="369" t="s">
        <v>86</v>
      </c>
      <c r="F369" s="371">
        <v>46195</v>
      </c>
      <c r="G369" s="371">
        <v>46198</v>
      </c>
      <c r="H369" s="371" t="s">
        <v>752</v>
      </c>
      <c r="I369" s="372"/>
      <c r="J369" s="372">
        <v>0.5</v>
      </c>
      <c r="K369" s="381">
        <v>0.375</v>
      </c>
      <c r="L369" s="381">
        <v>0.79166666666666663</v>
      </c>
      <c r="M369" s="381">
        <v>0.75</v>
      </c>
      <c r="N369" s="381">
        <v>0.25</v>
      </c>
      <c r="O369" s="381">
        <v>4.1666666666666664E-2</v>
      </c>
      <c r="P369" s="375" t="s">
        <v>297</v>
      </c>
      <c r="Q369" s="375"/>
      <c r="R369" s="376"/>
      <c r="S369" s="370">
        <f>VLOOKUP(Table2[[#This Row],[Course Title]],'TSD-Data'!$A$1:$E$70,4,FALSE)</f>
        <v>45</v>
      </c>
      <c r="T369" s="377">
        <f>VLOOKUP(Table2[[#This Row],[Course Title]],'TSD-Data'!$A$1:$F$70,6,FALSE)</f>
        <v>32</v>
      </c>
      <c r="U369" s="378">
        <f>VLOOKUP(Table2[[#This Row],[Course Title]],'TSD-Data'!$A$1:$F$70,5,FALSE)</f>
        <v>4</v>
      </c>
      <c r="V369" s="379">
        <v>688</v>
      </c>
      <c r="W369" s="377"/>
      <c r="X369" s="377"/>
      <c r="Y369" s="378"/>
      <c r="Z369" s="378"/>
      <c r="AA369" s="370"/>
      <c r="AB369" s="370"/>
      <c r="AC369" s="370"/>
      <c r="AD369" s="370"/>
      <c r="AE369" s="378">
        <f ca="1">Table2[[#This Row],[End Date]]+2-TODAY()</f>
        <v>382</v>
      </c>
      <c r="AF369" s="370">
        <f>IF(ISBLANK(Table2[[#This Row],[Roster Received by]]),1,0)</f>
        <v>1</v>
      </c>
      <c r="AG369" s="377">
        <f ca="1">IF(Table2[[#This Row],[Start Date]]&gt;TODAY(),1,)</f>
        <v>1</v>
      </c>
      <c r="AH369" s="377">
        <f>IF(ISBLANK(Table2[[#This Row],[Primary Instructor]]),0,1)</f>
        <v>1</v>
      </c>
      <c r="AI369" s="377">
        <f>IF(ISBLANK(Table2[[#This Row],[Instructor 2]]),0,1)</f>
        <v>0</v>
      </c>
      <c r="AJ369" s="377">
        <f>Table2[[#This Row],[Course Length (Hours)]]/(SUM(Table2[[#This Row],[1]:[2]]))</f>
        <v>32</v>
      </c>
      <c r="AK369" s="370"/>
      <c r="AL369" s="377">
        <v>3</v>
      </c>
      <c r="AM369" s="403" t="str">
        <f>VLOOKUP(Table2[[#This Row],[Course Title]],'TSD-Data'!$A$1:$G$70,7,FALSE)</f>
        <v>N3</v>
      </c>
    </row>
    <row r="370" spans="1:39" s="380" customFormat="1" x14ac:dyDescent="0.25">
      <c r="A370" s="413"/>
      <c r="B370" s="482" t="s">
        <v>35</v>
      </c>
      <c r="C370" s="370" t="str">
        <f>VLOOKUP(Table2[[#This Row],[Course Title]],'TSD-Data'!$A$1:$E$70,2,FALSE)</f>
        <v>A-493-2501</v>
      </c>
      <c r="D370" s="370" t="str">
        <f>VLOOKUP(Table2[[#This Row],[Course Title]],'TSD-Data'!$A$1:$E$70,3,FALSE)</f>
        <v>05ZE</v>
      </c>
      <c r="E370" s="414" t="s">
        <v>173</v>
      </c>
      <c r="F370" s="416">
        <v>46195</v>
      </c>
      <c r="G370" s="416">
        <v>46195</v>
      </c>
      <c r="H370" s="426" t="s">
        <v>753</v>
      </c>
      <c r="I370" s="417">
        <v>0.33333333333333331</v>
      </c>
      <c r="J370" s="417"/>
      <c r="K370" s="416"/>
      <c r="L370" s="416"/>
      <c r="M370" s="416"/>
      <c r="N370" s="416"/>
      <c r="O370" s="416"/>
      <c r="P370" s="418" t="s">
        <v>241</v>
      </c>
      <c r="Q370" s="418"/>
      <c r="R370" s="376"/>
      <c r="S370" s="370">
        <f>VLOOKUP(Table2[[#This Row],[Course Title]],'TSD-Data'!$A$1:$E$70,4,FALSE)</f>
        <v>30</v>
      </c>
      <c r="T370" s="377">
        <f>VLOOKUP(Table2[[#This Row],[Course Title]],'TSD-Data'!$A$1:$F$70,6,FALSE)</f>
        <v>8</v>
      </c>
      <c r="U370" s="378">
        <f>VLOOKUP(Table2[[#This Row],[Course Title]],'TSD-Data'!$A$1:$F$70,5,FALSE)</f>
        <v>1</v>
      </c>
      <c r="V370" s="379">
        <v>30</v>
      </c>
      <c r="W370" s="377"/>
      <c r="X370" s="377"/>
      <c r="Y370" s="420"/>
      <c r="Z370" s="420"/>
      <c r="AA370" s="415"/>
      <c r="AB370" s="415"/>
      <c r="AC370" s="421"/>
      <c r="AD370" s="421"/>
      <c r="AE370" s="420">
        <v>390</v>
      </c>
      <c r="AF370" s="415">
        <v>1</v>
      </c>
      <c r="AG370" s="403">
        <v>1</v>
      </c>
      <c r="AH370" s="403">
        <v>1</v>
      </c>
      <c r="AI370" s="403">
        <v>0</v>
      </c>
      <c r="AJ370" s="403">
        <v>8</v>
      </c>
      <c r="AK370" s="415"/>
      <c r="AL370" s="377">
        <v>3</v>
      </c>
      <c r="AM370" s="403" t="str">
        <f>VLOOKUP(Table2[[#This Row],[Course Title]],'TSD-Data'!$A$1:$G$70,7,FALSE)</f>
        <v>N4</v>
      </c>
    </row>
    <row r="371" spans="1:39" s="380" customFormat="1" x14ac:dyDescent="0.25">
      <c r="A371" s="368"/>
      <c r="B371" s="434" t="s">
        <v>53</v>
      </c>
      <c r="C371" s="370" t="str">
        <f>VLOOKUP(Table2[[#This Row],[Course Title]],'TSD-Data'!$A$1:$E$70,2,FALSE)</f>
        <v>A-493-0072</v>
      </c>
      <c r="D371" s="370" t="str">
        <f>VLOOKUP(Table2[[#This Row],[Course Title]],'TSD-Data'!$A$1:$E$70,3,FALSE)</f>
        <v>713U</v>
      </c>
      <c r="E371" s="369" t="s">
        <v>165</v>
      </c>
      <c r="F371" s="371">
        <v>46195</v>
      </c>
      <c r="G371" s="371">
        <v>46199</v>
      </c>
      <c r="H371" s="371" t="s">
        <v>752</v>
      </c>
      <c r="I371" s="372">
        <v>0.33333333333333331</v>
      </c>
      <c r="J371" s="372"/>
      <c r="K371" s="371"/>
      <c r="L371" s="371"/>
      <c r="M371" s="371"/>
      <c r="N371" s="371"/>
      <c r="O371" s="371"/>
      <c r="P371" s="375" t="s">
        <v>292</v>
      </c>
      <c r="Q371" s="375"/>
      <c r="R371" s="376" t="s">
        <v>268</v>
      </c>
      <c r="S371" s="370">
        <f>VLOOKUP(Table2[[#This Row],[Course Title]],'TSD-Data'!$A$1:$E$70,4,FALSE)</f>
        <v>30</v>
      </c>
      <c r="T371" s="377">
        <f>VLOOKUP(Table2[[#This Row],[Course Title]],'TSD-Data'!$A$1:$F$70,6,FALSE)</f>
        <v>40</v>
      </c>
      <c r="U371" s="378">
        <f>VLOOKUP(Table2[[#This Row],[Course Title]],'TSD-Data'!$A$1:$F$70,5,FALSE)</f>
        <v>5</v>
      </c>
      <c r="V371" s="379">
        <v>56</v>
      </c>
      <c r="W371" s="377"/>
      <c r="X371" s="377"/>
      <c r="Y371" s="378"/>
      <c r="Z371" s="378"/>
      <c r="AA371" s="370"/>
      <c r="AB371" s="370"/>
      <c r="AC371" s="370"/>
      <c r="AD371" s="370"/>
      <c r="AE371" s="378">
        <f ca="1">Table2[[#This Row],[End Date]]+2-TODAY()</f>
        <v>383</v>
      </c>
      <c r="AF371" s="370">
        <f>IF(ISBLANK(Table2[[#This Row],[Roster Received by]]),1,0)</f>
        <v>1</v>
      </c>
      <c r="AG371" s="377">
        <f ca="1">IF(Table2[[#This Row],[Start Date]]&gt;TODAY(),1,)</f>
        <v>1</v>
      </c>
      <c r="AH371" s="377">
        <f>IF(ISBLANK(Table2[[#This Row],[Primary Instructor]]),0,1)</f>
        <v>1</v>
      </c>
      <c r="AI371" s="377">
        <f>IF(ISBLANK(Table2[[#This Row],[Instructor 2]]),0,1)</f>
        <v>0</v>
      </c>
      <c r="AJ371" s="377">
        <f>Table2[[#This Row],[Course Length (Hours)]]/(SUM(Table2[[#This Row],[1]:[2]]))</f>
        <v>40</v>
      </c>
      <c r="AK371" s="370"/>
      <c r="AL371" s="377">
        <v>3</v>
      </c>
      <c r="AM371" s="403" t="str">
        <f>VLOOKUP(Table2[[#This Row],[Course Title]],'TSD-Data'!$A$1:$G$70,7,FALSE)</f>
        <v>N3</v>
      </c>
    </row>
    <row r="372" spans="1:39" s="380" customFormat="1" x14ac:dyDescent="0.25">
      <c r="A372" s="413" t="s">
        <v>751</v>
      </c>
      <c r="B372" s="482" t="s">
        <v>36</v>
      </c>
      <c r="C372" s="370" t="str">
        <f>VLOOKUP(Table2[[#This Row],[Course Title]],'TSD-Data'!$A$1:$E$70,2,FALSE)</f>
        <v>A-493-2017</v>
      </c>
      <c r="D372" s="370" t="str">
        <f>VLOOKUP(Table2[[#This Row],[Course Title]],'TSD-Data'!$A$1:$E$70,3,FALSE)</f>
        <v>12x3</v>
      </c>
      <c r="E372" s="414" t="s">
        <v>159</v>
      </c>
      <c r="F372" s="416">
        <v>46195</v>
      </c>
      <c r="G372" s="416">
        <v>46199</v>
      </c>
      <c r="H372" s="426" t="s">
        <v>753</v>
      </c>
      <c r="I372" s="417">
        <v>0.33333333333333331</v>
      </c>
      <c r="J372" s="417"/>
      <c r="K372" s="416"/>
      <c r="L372" s="416"/>
      <c r="M372" s="416"/>
      <c r="N372" s="416"/>
      <c r="O372" s="416"/>
      <c r="P372" s="418" t="s">
        <v>241</v>
      </c>
      <c r="Q372" s="418"/>
      <c r="R372" s="376"/>
      <c r="S372" s="370">
        <f>VLOOKUP(Table2[[#This Row],[Course Title]],'TSD-Data'!$A$1:$E$70,4,FALSE)</f>
        <v>25</v>
      </c>
      <c r="T372" s="377">
        <f>VLOOKUP(Table2[[#This Row],[Course Title]],'TSD-Data'!$A$1:$F$70,6,FALSE)</f>
        <v>40</v>
      </c>
      <c r="U372" s="378">
        <f>VLOOKUP(Table2[[#This Row],[Course Title]],'TSD-Data'!$A$1:$F$70,5,FALSE)</f>
        <v>5</v>
      </c>
      <c r="V372" s="379">
        <v>25</v>
      </c>
      <c r="W372" s="377"/>
      <c r="X372" s="377"/>
      <c r="Y372" s="420"/>
      <c r="Z372" s="420"/>
      <c r="AA372" s="415"/>
      <c r="AB372" s="415"/>
      <c r="AC372" s="421"/>
      <c r="AD372" s="421"/>
      <c r="AE372" s="420">
        <v>394</v>
      </c>
      <c r="AF372" s="415">
        <v>1</v>
      </c>
      <c r="AG372" s="403">
        <v>1</v>
      </c>
      <c r="AH372" s="403">
        <v>1</v>
      </c>
      <c r="AI372" s="403">
        <v>0</v>
      </c>
      <c r="AJ372" s="403">
        <v>40</v>
      </c>
      <c r="AK372" s="415"/>
      <c r="AL372" s="377">
        <v>3</v>
      </c>
      <c r="AM372" s="403" t="str">
        <f>VLOOKUP(Table2[[#This Row],[Course Title]],'TSD-Data'!$A$1:$G$70,7,FALSE)</f>
        <v>N4</v>
      </c>
    </row>
    <row r="373" spans="1:39" s="380" customFormat="1" x14ac:dyDescent="0.25">
      <c r="A373" s="413" t="s">
        <v>737</v>
      </c>
      <c r="B373" s="482" t="s">
        <v>28</v>
      </c>
      <c r="C373" s="370" t="str">
        <f>VLOOKUP(Table2[[#This Row],[Course Title]],'TSD-Data'!$A$1:$E$70,2,FALSE)</f>
        <v>A-493-0013</v>
      </c>
      <c r="D373" s="370">
        <f>VLOOKUP(Table2[[#This Row],[Course Title]],'TSD-Data'!$A$1:$E$70,3,FALSE)</f>
        <v>3683</v>
      </c>
      <c r="E373" s="414" t="s">
        <v>275</v>
      </c>
      <c r="F373" s="416">
        <v>46196</v>
      </c>
      <c r="G373" s="416">
        <v>46198</v>
      </c>
      <c r="H373" s="426" t="s">
        <v>753</v>
      </c>
      <c r="I373" s="417">
        <v>0.33333333333333331</v>
      </c>
      <c r="J373" s="417"/>
      <c r="K373" s="416"/>
      <c r="L373" s="416"/>
      <c r="M373" s="416"/>
      <c r="N373" s="416"/>
      <c r="O373" s="416"/>
      <c r="P373" s="418" t="s">
        <v>241</v>
      </c>
      <c r="Q373" s="418"/>
      <c r="R373" s="376"/>
      <c r="S373" s="370">
        <f>VLOOKUP(Table2[[#This Row],[Course Title]],'TSD-Data'!$A$1:$E$70,4,FALSE)</f>
        <v>40</v>
      </c>
      <c r="T373" s="377">
        <f>VLOOKUP(Table2[[#This Row],[Course Title]],'TSD-Data'!$A$1:$F$70,6,FALSE)</f>
        <v>24</v>
      </c>
      <c r="U373" s="378">
        <f>VLOOKUP(Table2[[#This Row],[Course Title]],'TSD-Data'!$A$1:$F$70,5,FALSE)</f>
        <v>3</v>
      </c>
      <c r="V373" s="379">
        <v>30</v>
      </c>
      <c r="W373" s="377"/>
      <c r="X373" s="377"/>
      <c r="Y373" s="420"/>
      <c r="Z373" s="420"/>
      <c r="AA373" s="415"/>
      <c r="AB373" s="415"/>
      <c r="AC373" s="421"/>
      <c r="AD373" s="421"/>
      <c r="AE373" s="420">
        <v>393</v>
      </c>
      <c r="AF373" s="415">
        <v>1</v>
      </c>
      <c r="AG373" s="403">
        <v>1</v>
      </c>
      <c r="AH373" s="403">
        <v>1</v>
      </c>
      <c r="AI373" s="403">
        <v>0</v>
      </c>
      <c r="AJ373" s="403">
        <v>24</v>
      </c>
      <c r="AK373" s="415"/>
      <c r="AL373" s="377">
        <v>3</v>
      </c>
      <c r="AM373" s="403" t="str">
        <f>VLOOKUP(Table2[[#This Row],[Course Title]],'TSD-Data'!$A$1:$G$70,7,FALSE)</f>
        <v>N4</v>
      </c>
    </row>
    <row r="374" spans="1:39" s="380" customFormat="1" x14ac:dyDescent="0.25">
      <c r="A374" s="368"/>
      <c r="B374" s="369" t="s">
        <v>120</v>
      </c>
      <c r="C374" s="370" t="str">
        <f>VLOOKUP(Table2[[#This Row],[Course Title]],'TSD-Data'!$A$1:$E$70,2,FALSE)</f>
        <v>A-322-2604</v>
      </c>
      <c r="D374" s="370" t="str">
        <f>VLOOKUP(Table2[[#This Row],[Course Title]],'TSD-Data'!$A$1:$E$70,3,FALSE)</f>
        <v>10ZZ</v>
      </c>
      <c r="E374" s="369" t="s">
        <v>86</v>
      </c>
      <c r="F374" s="371">
        <v>46196</v>
      </c>
      <c r="G374" s="371">
        <v>46198</v>
      </c>
      <c r="H374" s="371" t="s">
        <v>752</v>
      </c>
      <c r="I374" s="372"/>
      <c r="J374" s="399">
        <v>0.5</v>
      </c>
      <c r="K374" s="381">
        <v>0.375</v>
      </c>
      <c r="L374" s="381">
        <v>0.79166666666666663</v>
      </c>
      <c r="M374" s="381">
        <v>0.75</v>
      </c>
      <c r="N374" s="381">
        <v>0.25</v>
      </c>
      <c r="O374" s="381">
        <v>4.1666666666666664E-2</v>
      </c>
      <c r="P374" s="375" t="s">
        <v>248</v>
      </c>
      <c r="Q374" s="375"/>
      <c r="R374" s="376"/>
      <c r="S374" s="370">
        <f>VLOOKUP(Table2[[#This Row],[Course Title]],'TSD-Data'!$A$1:$E$70,4,FALSE)</f>
        <v>45</v>
      </c>
      <c r="T374" s="377">
        <f>VLOOKUP(Table2[[#This Row],[Course Title]],'TSD-Data'!$A$1:$F$70,6,FALSE)</f>
        <v>24</v>
      </c>
      <c r="U374" s="378">
        <f>VLOOKUP(Table2[[#This Row],[Course Title]],'TSD-Data'!$A$1:$F$70,5,FALSE)</f>
        <v>3</v>
      </c>
      <c r="V374" s="379">
        <v>621</v>
      </c>
      <c r="W374" s="377"/>
      <c r="X374" s="377"/>
      <c r="Y374" s="378"/>
      <c r="Z374" s="378"/>
      <c r="AA374" s="370"/>
      <c r="AB374" s="370"/>
      <c r="AC374" s="370"/>
      <c r="AD374" s="370"/>
      <c r="AE374" s="378">
        <f ca="1">Table2[[#This Row],[End Date]]+2-TODAY()</f>
        <v>382</v>
      </c>
      <c r="AF374" s="370">
        <f>IF(ISBLANK(Table2[[#This Row],[Roster Received by]]),1,0)</f>
        <v>1</v>
      </c>
      <c r="AG374" s="377">
        <f ca="1">IF(Table2[[#This Row],[Start Date]]&gt;TODAY(),1,)</f>
        <v>1</v>
      </c>
      <c r="AH374" s="377">
        <f>IF(ISBLANK(Table2[[#This Row],[Primary Instructor]]),0,1)</f>
        <v>1</v>
      </c>
      <c r="AI374" s="377">
        <f>IF(ISBLANK(Table2[[#This Row],[Instructor 2]]),0,1)</f>
        <v>0</v>
      </c>
      <c r="AJ374" s="377">
        <f>Table2[[#This Row],[Course Length (Hours)]]/(SUM(Table2[[#This Row],[1]:[2]]))</f>
        <v>24</v>
      </c>
      <c r="AK374" s="370"/>
      <c r="AL374" s="377">
        <v>3</v>
      </c>
      <c r="AM374" s="403" t="str">
        <f>VLOOKUP(Table2[[#This Row],[Course Title]],'TSD-Data'!$A$1:$G$70,7,FALSE)</f>
        <v>N3</v>
      </c>
    </row>
    <row r="375" spans="1:39" s="380" customFormat="1" x14ac:dyDescent="0.25">
      <c r="A375" s="413"/>
      <c r="B375" s="414" t="s">
        <v>35</v>
      </c>
      <c r="C375" s="370" t="str">
        <f>VLOOKUP(Table2[[#This Row],[Course Title]],'TSD-Data'!$A$1:$E$70,2,FALSE)</f>
        <v>A-493-2501</v>
      </c>
      <c r="D375" s="370" t="str">
        <f>VLOOKUP(Table2[[#This Row],[Course Title]],'TSD-Data'!$A$1:$E$70,3,FALSE)</f>
        <v>05ZE</v>
      </c>
      <c r="E375" s="414" t="s">
        <v>300</v>
      </c>
      <c r="F375" s="416">
        <v>46196</v>
      </c>
      <c r="G375" s="416">
        <v>46196</v>
      </c>
      <c r="H375" s="426" t="s">
        <v>753</v>
      </c>
      <c r="I375" s="417">
        <v>0.33333333333333331</v>
      </c>
      <c r="J375" s="417"/>
      <c r="K375" s="416"/>
      <c r="L375" s="416"/>
      <c r="M375" s="416"/>
      <c r="N375" s="416"/>
      <c r="O375" s="416"/>
      <c r="P375" s="418" t="s">
        <v>241</v>
      </c>
      <c r="Q375" s="418"/>
      <c r="R375" s="376"/>
      <c r="S375" s="370">
        <f>VLOOKUP(Table2[[#This Row],[Course Title]],'TSD-Data'!$A$1:$E$70,4,FALSE)</f>
        <v>30</v>
      </c>
      <c r="T375" s="377">
        <f>VLOOKUP(Table2[[#This Row],[Course Title]],'TSD-Data'!$A$1:$F$70,6,FALSE)</f>
        <v>8</v>
      </c>
      <c r="U375" s="378">
        <f>VLOOKUP(Table2[[#This Row],[Course Title]],'TSD-Data'!$A$1:$F$70,5,FALSE)</f>
        <v>1</v>
      </c>
      <c r="V375" s="379">
        <v>30</v>
      </c>
      <c r="W375" s="377"/>
      <c r="X375" s="377"/>
      <c r="Y375" s="420"/>
      <c r="Z375" s="420"/>
      <c r="AA375" s="415"/>
      <c r="AB375" s="415"/>
      <c r="AC375" s="421"/>
      <c r="AD375" s="421"/>
      <c r="AE375" s="420">
        <v>391</v>
      </c>
      <c r="AF375" s="415">
        <v>1</v>
      </c>
      <c r="AG375" s="403">
        <v>1</v>
      </c>
      <c r="AH375" s="403">
        <v>1</v>
      </c>
      <c r="AI375" s="403">
        <v>0</v>
      </c>
      <c r="AJ375" s="403">
        <v>8</v>
      </c>
      <c r="AK375" s="415"/>
      <c r="AL375" s="377">
        <v>3</v>
      </c>
      <c r="AM375" s="403" t="str">
        <f>VLOOKUP(Table2[[#This Row],[Course Title]],'TSD-Data'!$A$1:$G$70,7,FALSE)</f>
        <v>N4</v>
      </c>
    </row>
    <row r="376" spans="1:39" s="380" customFormat="1" x14ac:dyDescent="0.25">
      <c r="A376" s="368"/>
      <c r="B376" s="369" t="s">
        <v>57</v>
      </c>
      <c r="C376" s="370" t="str">
        <f>VLOOKUP(Table2[[#This Row],[Course Title]],'TSD-Data'!$A$1:$E$70,2,FALSE)</f>
        <v>A-493-0099</v>
      </c>
      <c r="D376" s="370" t="str">
        <f>VLOOKUP(Table2[[#This Row],[Course Title]],'TSD-Data'!$A$1:$E$70,3,FALSE)</f>
        <v>12JW</v>
      </c>
      <c r="E376" s="369" t="s">
        <v>86</v>
      </c>
      <c r="F376" s="371">
        <v>46197</v>
      </c>
      <c r="G376" s="371">
        <v>46199</v>
      </c>
      <c r="H376" s="371" t="s">
        <v>752</v>
      </c>
      <c r="I376" s="372"/>
      <c r="J376" s="372">
        <v>0.33333333333333331</v>
      </c>
      <c r="K376" s="372">
        <v>0.20833333333333334</v>
      </c>
      <c r="L376" s="372">
        <v>0.625</v>
      </c>
      <c r="M376" s="372">
        <v>0.54166666666666663</v>
      </c>
      <c r="N376" s="372">
        <v>8.3333333333333329E-2</v>
      </c>
      <c r="O376" s="372">
        <v>0.875</v>
      </c>
      <c r="P376" s="375" t="s">
        <v>277</v>
      </c>
      <c r="Q376" s="375"/>
      <c r="R376" s="376"/>
      <c r="S376" s="370">
        <f>VLOOKUP(Table2[[#This Row],[Course Title]],'TSD-Data'!$A$1:$E$70,4,FALSE)</f>
        <v>45</v>
      </c>
      <c r="T376" s="377">
        <f>VLOOKUP(Table2[[#This Row],[Course Title]],'TSD-Data'!$A$1:$F$70,6,FALSE)</f>
        <v>24</v>
      </c>
      <c r="U376" s="378">
        <f>VLOOKUP(Table2[[#This Row],[Course Title]],'TSD-Data'!$A$1:$F$70,5,FALSE)</f>
        <v>3</v>
      </c>
      <c r="V376" s="379">
        <v>406</v>
      </c>
      <c r="W376" s="377"/>
      <c r="X376" s="377"/>
      <c r="Y376" s="378"/>
      <c r="Z376" s="378"/>
      <c r="AA376" s="370"/>
      <c r="AB376" s="370"/>
      <c r="AC376" s="370"/>
      <c r="AD376" s="370"/>
      <c r="AE376" s="378">
        <f ca="1">Table2[[#This Row],[End Date]]+2-TODAY()</f>
        <v>383</v>
      </c>
      <c r="AF376" s="370">
        <f>IF(ISBLANK(Table2[[#This Row],[Roster Received by]]),1,0)</f>
        <v>1</v>
      </c>
      <c r="AG376" s="377">
        <f ca="1">IF(Table2[[#This Row],[Start Date]]&gt;TODAY(),1,)</f>
        <v>1</v>
      </c>
      <c r="AH376" s="377">
        <f>IF(ISBLANK(Table2[[#This Row],[Primary Instructor]]),0,1)</f>
        <v>1</v>
      </c>
      <c r="AI376" s="377">
        <f>IF(ISBLANK(Table2[[#This Row],[Instructor 2]]),0,1)</f>
        <v>0</v>
      </c>
      <c r="AJ376" s="377">
        <f>Table2[[#This Row],[Course Length (Hours)]]/(SUM(Table2[[#This Row],[1]:[2]]))</f>
        <v>24</v>
      </c>
      <c r="AK376" s="370"/>
      <c r="AL376" s="377">
        <v>3</v>
      </c>
      <c r="AM376" s="403" t="str">
        <f>VLOOKUP(Table2[[#This Row],[Course Title]],'TSD-Data'!$A$1:$G$70,7,FALSE)</f>
        <v>N5</v>
      </c>
    </row>
    <row r="377" spans="1:39" s="380" customFormat="1" x14ac:dyDescent="0.25">
      <c r="A377" s="413"/>
      <c r="B377" s="414" t="s">
        <v>35</v>
      </c>
      <c r="C377" s="370" t="str">
        <f>VLOOKUP(Table2[[#This Row],[Course Title]],'TSD-Data'!$A$1:$E$70,2,FALSE)</f>
        <v>A-493-2501</v>
      </c>
      <c r="D377" s="370" t="str">
        <f>VLOOKUP(Table2[[#This Row],[Course Title]],'TSD-Data'!$A$1:$E$70,3,FALSE)</f>
        <v>05ZE</v>
      </c>
      <c r="E377" s="414" t="s">
        <v>275</v>
      </c>
      <c r="F377" s="416">
        <v>46198</v>
      </c>
      <c r="G377" s="416">
        <v>46198</v>
      </c>
      <c r="H377" s="426" t="s">
        <v>753</v>
      </c>
      <c r="I377" s="417">
        <v>0.33333333333333331</v>
      </c>
      <c r="J377" s="417"/>
      <c r="K377" s="416"/>
      <c r="L377" s="416"/>
      <c r="M377" s="416"/>
      <c r="N377" s="416"/>
      <c r="O377" s="416"/>
      <c r="P377" s="418" t="s">
        <v>241</v>
      </c>
      <c r="Q377" s="418"/>
      <c r="R377" s="376"/>
      <c r="S377" s="370">
        <f>VLOOKUP(Table2[[#This Row],[Course Title]],'TSD-Data'!$A$1:$E$70,4,FALSE)</f>
        <v>30</v>
      </c>
      <c r="T377" s="377">
        <f>VLOOKUP(Table2[[#This Row],[Course Title]],'TSD-Data'!$A$1:$F$70,6,FALSE)</f>
        <v>8</v>
      </c>
      <c r="U377" s="378">
        <f>VLOOKUP(Table2[[#This Row],[Course Title]],'TSD-Data'!$A$1:$F$70,5,FALSE)</f>
        <v>1</v>
      </c>
      <c r="V377" s="379">
        <v>30</v>
      </c>
      <c r="W377" s="377"/>
      <c r="X377" s="377"/>
      <c r="Y377" s="420"/>
      <c r="Z377" s="420"/>
      <c r="AA377" s="415"/>
      <c r="AB377" s="415"/>
      <c r="AC377" s="421"/>
      <c r="AD377" s="421"/>
      <c r="AE377" s="420">
        <v>393</v>
      </c>
      <c r="AF377" s="415">
        <v>1</v>
      </c>
      <c r="AG377" s="403">
        <v>1</v>
      </c>
      <c r="AH377" s="403">
        <v>1</v>
      </c>
      <c r="AI377" s="403">
        <v>0</v>
      </c>
      <c r="AJ377" s="403">
        <v>8</v>
      </c>
      <c r="AK377" s="415"/>
      <c r="AL377" s="377">
        <v>3</v>
      </c>
      <c r="AM377" s="403" t="str">
        <f>VLOOKUP(Table2[[#This Row],[Course Title]],'TSD-Data'!$A$1:$G$70,7,FALSE)</f>
        <v>N4</v>
      </c>
    </row>
    <row r="378" spans="1:39" s="380" customFormat="1" x14ac:dyDescent="0.25">
      <c r="A378" s="413" t="s">
        <v>521</v>
      </c>
      <c r="B378" s="414" t="s">
        <v>28</v>
      </c>
      <c r="C378" s="370" t="str">
        <f>VLOOKUP(Table2[[#This Row],[Course Title]],'TSD-Data'!$A$1:$E$70,2,FALSE)</f>
        <v>A-493-0013</v>
      </c>
      <c r="D378" s="370">
        <f>VLOOKUP(Table2[[#This Row],[Course Title]],'TSD-Data'!$A$1:$E$70,3,FALSE)</f>
        <v>3683</v>
      </c>
      <c r="E378" s="414" t="s">
        <v>352</v>
      </c>
      <c r="F378" s="416">
        <v>46202</v>
      </c>
      <c r="G378" s="416">
        <v>46204</v>
      </c>
      <c r="H378" s="426" t="s">
        <v>753</v>
      </c>
      <c r="I378" s="417">
        <v>0.33333333333333331</v>
      </c>
      <c r="J378" s="417"/>
      <c r="K378" s="416"/>
      <c r="L378" s="416"/>
      <c r="M378" s="416"/>
      <c r="N378" s="416"/>
      <c r="O378" s="416"/>
      <c r="P378" s="418" t="s">
        <v>241</v>
      </c>
      <c r="Q378" s="418"/>
      <c r="R378" s="376"/>
      <c r="S378" s="370">
        <f>VLOOKUP(Table2[[#This Row],[Course Title]],'TSD-Data'!$A$1:$E$70,4,FALSE)</f>
        <v>40</v>
      </c>
      <c r="T378" s="377">
        <f>VLOOKUP(Table2[[#This Row],[Course Title]],'TSD-Data'!$A$1:$F$70,6,FALSE)</f>
        <v>24</v>
      </c>
      <c r="U378" s="378">
        <f>VLOOKUP(Table2[[#This Row],[Course Title]],'TSD-Data'!$A$1:$F$70,5,FALSE)</f>
        <v>3</v>
      </c>
      <c r="V378" s="379">
        <v>15</v>
      </c>
      <c r="W378" s="377"/>
      <c r="X378" s="377"/>
      <c r="Y378" s="420"/>
      <c r="Z378" s="420"/>
      <c r="AA378" s="415"/>
      <c r="AB378" s="415"/>
      <c r="AC378" s="421"/>
      <c r="AD378" s="421"/>
      <c r="AE378" s="420">
        <v>399</v>
      </c>
      <c r="AF378" s="415">
        <v>1</v>
      </c>
      <c r="AG378" s="403">
        <v>1</v>
      </c>
      <c r="AH378" s="403">
        <v>1</v>
      </c>
      <c r="AI378" s="403">
        <v>0</v>
      </c>
      <c r="AJ378" s="403">
        <v>24</v>
      </c>
      <c r="AK378" s="415"/>
      <c r="AL378" s="377">
        <v>3</v>
      </c>
      <c r="AM378" s="403" t="str">
        <f>VLOOKUP(Table2[[#This Row],[Course Title]],'TSD-Data'!$A$1:$G$70,7,FALSE)</f>
        <v>N4</v>
      </c>
    </row>
    <row r="379" spans="1:39" s="380" customFormat="1" x14ac:dyDescent="0.25">
      <c r="A379" s="368"/>
      <c r="B379" s="369" t="s">
        <v>120</v>
      </c>
      <c r="C379" s="370" t="str">
        <f>VLOOKUP(Table2[[#This Row],[Course Title]],'TSD-Data'!$A$1:$E$70,2,FALSE)</f>
        <v>A-322-2604</v>
      </c>
      <c r="D379" s="370" t="str">
        <f>VLOOKUP(Table2[[#This Row],[Course Title]],'TSD-Data'!$A$1:$E$70,3,FALSE)</f>
        <v>10ZZ</v>
      </c>
      <c r="E379" s="369" t="s">
        <v>86</v>
      </c>
      <c r="F379" s="371">
        <v>46202</v>
      </c>
      <c r="G379" s="371">
        <v>46204</v>
      </c>
      <c r="H379" s="371" t="s">
        <v>752</v>
      </c>
      <c r="I379" s="372"/>
      <c r="J379" s="399">
        <v>0.5</v>
      </c>
      <c r="K379" s="381">
        <v>0.375</v>
      </c>
      <c r="L379" s="381">
        <v>0.79166666666666663</v>
      </c>
      <c r="M379" s="381">
        <v>0.75</v>
      </c>
      <c r="N379" s="381">
        <v>0.25</v>
      </c>
      <c r="O379" s="381">
        <v>4.1666666666666664E-2</v>
      </c>
      <c r="P379" s="375" t="s">
        <v>252</v>
      </c>
      <c r="Q379" s="375"/>
      <c r="R379" s="376"/>
      <c r="S379" s="370">
        <f>VLOOKUP(Table2[[#This Row],[Course Title]],'TSD-Data'!$A$1:$E$70,4,FALSE)</f>
        <v>45</v>
      </c>
      <c r="T379" s="377">
        <f>VLOOKUP(Table2[[#This Row],[Course Title]],'TSD-Data'!$A$1:$F$70,6,FALSE)</f>
        <v>24</v>
      </c>
      <c r="U379" s="378">
        <f>VLOOKUP(Table2[[#This Row],[Course Title]],'TSD-Data'!$A$1:$F$70,5,FALSE)</f>
        <v>3</v>
      </c>
      <c r="V379" s="379">
        <v>621</v>
      </c>
      <c r="W379" s="377"/>
      <c r="X379" s="377"/>
      <c r="Y379" s="378"/>
      <c r="Z379" s="378"/>
      <c r="AA379" s="370"/>
      <c r="AB379" s="370"/>
      <c r="AC379" s="370"/>
      <c r="AD379" s="370"/>
      <c r="AE379" s="378">
        <f ca="1">Table2[[#This Row],[End Date]]+2-TODAY()</f>
        <v>388</v>
      </c>
      <c r="AF379" s="370">
        <f>IF(ISBLANK(Table2[[#This Row],[Roster Received by]]),1,0)</f>
        <v>1</v>
      </c>
      <c r="AG379" s="377">
        <f ca="1">IF(Table2[[#This Row],[Start Date]]&gt;TODAY(),1,)</f>
        <v>1</v>
      </c>
      <c r="AH379" s="377">
        <f>IF(ISBLANK(Table2[[#This Row],[Primary Instructor]]),0,1)</f>
        <v>1</v>
      </c>
      <c r="AI379" s="377">
        <f>IF(ISBLANK(Table2[[#This Row],[Instructor 2]]),0,1)</f>
        <v>0</v>
      </c>
      <c r="AJ379" s="377">
        <f>Table2[[#This Row],[Course Length (Hours)]]/(SUM(Table2[[#This Row],[1]:[2]]))</f>
        <v>24</v>
      </c>
      <c r="AK379" s="370"/>
      <c r="AL379" s="377">
        <v>3</v>
      </c>
      <c r="AM379" s="403" t="str">
        <f>VLOOKUP(Table2[[#This Row],[Course Title]],'TSD-Data'!$A$1:$G$70,7,FALSE)</f>
        <v>N3</v>
      </c>
    </row>
    <row r="380" spans="1:39" s="380" customFormat="1" x14ac:dyDescent="0.25">
      <c r="A380" s="368"/>
      <c r="B380" s="369" t="s">
        <v>59</v>
      </c>
      <c r="C380" s="370" t="str">
        <f>VLOOKUP(Table2[[#This Row],[Course Title]],'TSD-Data'!$A$1:$E$70,2,FALSE)</f>
        <v>A-493-0550</v>
      </c>
      <c r="D380" s="370" t="str">
        <f>VLOOKUP(Table2[[#This Row],[Course Title]],'TSD-Data'!$A$1:$E$70,3,FALSE)</f>
        <v>09K5</v>
      </c>
      <c r="E380" s="369" t="s">
        <v>86</v>
      </c>
      <c r="F380" s="371">
        <v>46202</v>
      </c>
      <c r="G380" s="371">
        <v>46205</v>
      </c>
      <c r="H380" s="371" t="s">
        <v>752</v>
      </c>
      <c r="I380" s="372"/>
      <c r="J380" s="440">
        <v>0.33333333333333331</v>
      </c>
      <c r="K380" s="440">
        <v>0.20833333333333334</v>
      </c>
      <c r="L380" s="440">
        <v>0.625</v>
      </c>
      <c r="M380" s="440">
        <v>0.54166666666666663</v>
      </c>
      <c r="N380" s="440">
        <v>8.3333333333333329E-2</v>
      </c>
      <c r="O380" s="440">
        <v>0.875</v>
      </c>
      <c r="P380" s="375" t="s">
        <v>272</v>
      </c>
      <c r="Q380" s="375"/>
      <c r="R380" s="376"/>
      <c r="S380" s="370">
        <f>VLOOKUP(Table2[[#This Row],[Course Title]],'TSD-Data'!$A$1:$E$70,4,FALSE)</f>
        <v>45</v>
      </c>
      <c r="T380" s="377">
        <f>VLOOKUP(Table2[[#This Row],[Course Title]],'TSD-Data'!$A$1:$F$70,6,FALSE)</f>
        <v>32</v>
      </c>
      <c r="U380" s="378">
        <f>VLOOKUP(Table2[[#This Row],[Course Title]],'TSD-Data'!$A$1:$F$70,5,FALSE)</f>
        <v>4</v>
      </c>
      <c r="V380" s="379">
        <v>455</v>
      </c>
      <c r="W380" s="377"/>
      <c r="X380" s="377"/>
      <c r="Y380" s="378"/>
      <c r="Z380" s="378"/>
      <c r="AA380" s="370"/>
      <c r="AB380" s="370"/>
      <c r="AC380" s="370"/>
      <c r="AD380" s="370"/>
      <c r="AE380" s="378">
        <f ca="1">Table2[[#This Row],[End Date]]+2-TODAY()</f>
        <v>389</v>
      </c>
      <c r="AF380" s="370">
        <f>IF(ISBLANK(Table2[[#This Row],[Roster Received by]]),1,0)</f>
        <v>1</v>
      </c>
      <c r="AG380" s="377">
        <f ca="1">IF(Table2[[#This Row],[Start Date]]&gt;TODAY(),1,)</f>
        <v>1</v>
      </c>
      <c r="AH380" s="377">
        <f>IF(ISBLANK(Table2[[#This Row],[Primary Instructor]]),0,1)</f>
        <v>1</v>
      </c>
      <c r="AI380" s="377">
        <f>IF(ISBLANK(Table2[[#This Row],[Instructor 2]]),0,1)</f>
        <v>0</v>
      </c>
      <c r="AJ380" s="377">
        <f>Table2[[#This Row],[Course Length (Hours)]]/(SUM(Table2[[#This Row],[1]:[2]]))</f>
        <v>32</v>
      </c>
      <c r="AK380" s="370"/>
      <c r="AL380" s="377">
        <v>3</v>
      </c>
      <c r="AM380" s="403" t="str">
        <f>VLOOKUP(Table2[[#This Row],[Course Title]],'TSD-Data'!$A$1:$G$70,7,FALSE)</f>
        <v>N5</v>
      </c>
    </row>
    <row r="381" spans="1:39" s="380" customFormat="1" x14ac:dyDescent="0.25">
      <c r="A381" s="368"/>
      <c r="B381" s="369" t="s">
        <v>61</v>
      </c>
      <c r="C381" s="370" t="str">
        <f>VLOOKUP(Table2[[#This Row],[Course Title]],'TSD-Data'!$A$1:$E$70,2,FALSE)</f>
        <v>A-493-0078</v>
      </c>
      <c r="D381" s="370">
        <f>VLOOKUP(Table2[[#This Row],[Course Title]],'TSD-Data'!$A$1:$E$70,3,FALSE)</f>
        <v>1228</v>
      </c>
      <c r="E381" s="369" t="s">
        <v>86</v>
      </c>
      <c r="F381" s="371">
        <v>46202</v>
      </c>
      <c r="G381" s="371">
        <v>46205</v>
      </c>
      <c r="H381" s="371" t="s">
        <v>752</v>
      </c>
      <c r="I381" s="372"/>
      <c r="J381" s="372">
        <v>0.33333333333333331</v>
      </c>
      <c r="K381" s="372">
        <v>0.20833333333333334</v>
      </c>
      <c r="L381" s="372">
        <v>0.625</v>
      </c>
      <c r="M381" s="372">
        <v>0.54166666666666663</v>
      </c>
      <c r="N381" s="372">
        <v>8.3333333333333329E-2</v>
      </c>
      <c r="O381" s="372">
        <v>0.875</v>
      </c>
      <c r="P381" s="375" t="s">
        <v>256</v>
      </c>
      <c r="Q381" s="375"/>
      <c r="R381" s="376"/>
      <c r="S381" s="370">
        <f>VLOOKUP(Table2[[#This Row],[Course Title]],'TSD-Data'!$A$1:$E$70,4,FALSE)</f>
        <v>45</v>
      </c>
      <c r="T381" s="377">
        <f>VLOOKUP(Table2[[#This Row],[Course Title]],'TSD-Data'!$A$1:$F$70,6,FALSE)</f>
        <v>32</v>
      </c>
      <c r="U381" s="378">
        <f>VLOOKUP(Table2[[#This Row],[Course Title]],'TSD-Data'!$A$1:$F$70,5,FALSE)</f>
        <v>4</v>
      </c>
      <c r="V381" s="379">
        <v>454</v>
      </c>
      <c r="W381" s="377"/>
      <c r="X381" s="377"/>
      <c r="Y381" s="378"/>
      <c r="Z381" s="378"/>
      <c r="AA381" s="370"/>
      <c r="AB381" s="370"/>
      <c r="AC381" s="370"/>
      <c r="AD381" s="370"/>
      <c r="AE381" s="378">
        <f ca="1">Table2[[#This Row],[End Date]]+2-TODAY()</f>
        <v>389</v>
      </c>
      <c r="AF381" s="370">
        <f>IF(ISBLANK(Table2[[#This Row],[Roster Received by]]),1,0)</f>
        <v>1</v>
      </c>
      <c r="AG381" s="377">
        <f ca="1">IF(Table2[[#This Row],[Start Date]]&gt;TODAY(),1,)</f>
        <v>1</v>
      </c>
      <c r="AH381" s="377">
        <f>IF(ISBLANK(Table2[[#This Row],[Primary Instructor]]),0,1)</f>
        <v>1</v>
      </c>
      <c r="AI381" s="377">
        <f>IF(ISBLANK(Table2[[#This Row],[Instructor 2]]),0,1)</f>
        <v>0</v>
      </c>
      <c r="AJ381" s="377">
        <f>Table2[[#This Row],[Course Length (Hours)]]/(SUM(Table2[[#This Row],[1]:[2]]))</f>
        <v>32</v>
      </c>
      <c r="AK381" s="370"/>
      <c r="AL381" s="377">
        <v>3</v>
      </c>
      <c r="AM381" s="403" t="str">
        <f>VLOOKUP(Table2[[#This Row],[Course Title]],'TSD-Data'!$A$1:$G$70,7,FALSE)</f>
        <v>N5</v>
      </c>
    </row>
    <row r="382" spans="1:39" s="380" customFormat="1" x14ac:dyDescent="0.25">
      <c r="A382" s="369" t="s">
        <v>474</v>
      </c>
      <c r="B382" s="435" t="s">
        <v>358</v>
      </c>
      <c r="C382" s="370" t="str">
        <f>VLOOKUP(Table2[[#This Row],[Course Title]],'TSD-Data'!$A$1:$E$70,2,FALSE)</f>
        <v>Function</v>
      </c>
      <c r="D382" s="370" t="str">
        <f>VLOOKUP(Table2[[#This Row],[Course Title]],'TSD-Data'!$A$1:$E$70,3,FALSE)</f>
        <v>Function</v>
      </c>
      <c r="E382" s="369" t="s">
        <v>169</v>
      </c>
      <c r="F382" s="437">
        <v>46203</v>
      </c>
      <c r="G382" s="437">
        <v>46203</v>
      </c>
      <c r="H382" s="371" t="s">
        <v>788</v>
      </c>
      <c r="I382" s="372"/>
      <c r="J382" s="372"/>
      <c r="K382" s="440"/>
      <c r="L382" s="372"/>
      <c r="M382" s="372"/>
      <c r="N382" s="372"/>
      <c r="O382" s="372"/>
      <c r="P382" s="375" t="s">
        <v>322</v>
      </c>
      <c r="Q382" s="375"/>
      <c r="R382" s="398"/>
      <c r="S382" s="370">
        <f>VLOOKUP(Table2[[#This Row],[Course Title]],'TSD-Data'!$A$1:$E$70,4,FALSE)</f>
        <v>0</v>
      </c>
      <c r="T382" s="377">
        <f>VLOOKUP(Table2[[#This Row],[Course Title]],'TSD-Data'!$A$1:$F$70,6,FALSE)</f>
        <v>0</v>
      </c>
      <c r="U382" s="378">
        <f>VLOOKUP(Table2[[#This Row],[Course Title]],'TSD-Data'!$A$1:$F$70,5,FALSE)</f>
        <v>0</v>
      </c>
      <c r="V382" s="379">
        <v>0</v>
      </c>
      <c r="W382" s="377">
        <v>0</v>
      </c>
      <c r="X382" s="377">
        <v>0</v>
      </c>
      <c r="Y382" s="377">
        <v>0</v>
      </c>
      <c r="Z382" s="377">
        <v>0</v>
      </c>
      <c r="AA382" s="377">
        <v>0</v>
      </c>
      <c r="AB382" s="377">
        <v>0</v>
      </c>
      <c r="AC382" s="377">
        <v>0</v>
      </c>
      <c r="AD382" s="377" t="s">
        <v>247</v>
      </c>
      <c r="AE382" s="379">
        <f ca="1">Table2[[#This Row],[End Date]]+2-TODAY()</f>
        <v>387</v>
      </c>
      <c r="AF382" s="377">
        <f>IF(ISBLANK(Table2[[#This Row],[Roster Received by]]),1,0)</f>
        <v>0</v>
      </c>
      <c r="AG382" s="377">
        <f ca="1">IF(Table2[[#This Row],[Start Date]]&gt;TODAY(),1,)</f>
        <v>1</v>
      </c>
      <c r="AH382" s="377">
        <f>IF(ISBLANK(Table2[[#This Row],[Primary Instructor]]),0,1)</f>
        <v>1</v>
      </c>
      <c r="AI382" s="377">
        <f>IF(ISBLANK(Table2[[#This Row],[Instructor 2]]),0,1)</f>
        <v>0</v>
      </c>
      <c r="AJ382" s="377">
        <f>Table2[[#This Row],[Course Length (Hours)]]/(SUM(Table2[[#This Row],[1]:[2]]))</f>
        <v>0</v>
      </c>
      <c r="AK382" s="377">
        <f>Table2[[#This Row],[Quotas]]-Table2[[#This Row],[Registered]]</f>
        <v>0</v>
      </c>
      <c r="AL382" s="377">
        <v>3</v>
      </c>
      <c r="AM382" s="403" t="str">
        <f>VLOOKUP(Table2[[#This Row],[Course Title]],'TSD-Data'!$A$1:$G$70,7,FALSE)</f>
        <v>TSD</v>
      </c>
    </row>
    <row r="383" spans="1:39" s="380" customFormat="1" x14ac:dyDescent="0.25">
      <c r="A383" s="369" t="s">
        <v>486</v>
      </c>
      <c r="B383" s="369" t="s">
        <v>181</v>
      </c>
      <c r="C383" s="370" t="str">
        <f>VLOOKUP(Table2[[#This Row],[Course Title]],'TSD-Data'!$A$1:$E$70,2,FALSE)</f>
        <v>Holiday</v>
      </c>
      <c r="D383" s="370" t="str">
        <f>VLOOKUP(Table2[[#This Row],[Course Title]],'TSD-Data'!$A$1:$E$70,3,FALSE)</f>
        <v>Holiday</v>
      </c>
      <c r="E383" s="369" t="s">
        <v>181</v>
      </c>
      <c r="F383" s="371">
        <v>46206</v>
      </c>
      <c r="G383" s="371">
        <v>46206</v>
      </c>
      <c r="H383" s="371" t="s">
        <v>788</v>
      </c>
      <c r="I383" s="372"/>
      <c r="J383" s="372"/>
      <c r="K383" s="371"/>
      <c r="L383" s="371"/>
      <c r="M383" s="371"/>
      <c r="N383" s="371"/>
      <c r="O383" s="371"/>
      <c r="P383" s="375" t="s">
        <v>322</v>
      </c>
      <c r="Q383" s="375"/>
      <c r="R383" s="398"/>
      <c r="S383" s="370">
        <f>VLOOKUP(Table2[[#This Row],[Course Title]],'TSD-Data'!$A$1:$E$70,4,FALSE)</f>
        <v>0</v>
      </c>
      <c r="T383" s="377">
        <f>VLOOKUP(Table2[[#This Row],[Course Title]],'TSD-Data'!$A$1:$F$70,6,FALSE)</f>
        <v>0</v>
      </c>
      <c r="U383" s="378">
        <f>VLOOKUP(Table2[[#This Row],[Course Title]],'TSD-Data'!$A$1:$F$70,5,FALSE)</f>
        <v>0</v>
      </c>
      <c r="V383" s="379">
        <v>0</v>
      </c>
      <c r="W383" s="377">
        <v>0</v>
      </c>
      <c r="X383" s="377">
        <v>0</v>
      </c>
      <c r="Y383" s="377">
        <v>0</v>
      </c>
      <c r="Z383" s="377">
        <v>0</v>
      </c>
      <c r="AA383" s="377">
        <v>0</v>
      </c>
      <c r="AB383" s="377">
        <v>0</v>
      </c>
      <c r="AC383" s="377">
        <v>0</v>
      </c>
      <c r="AD383" s="377" t="s">
        <v>247</v>
      </c>
      <c r="AE383" s="379">
        <f ca="1">Table2[[#This Row],[End Date]]+2-TODAY()</f>
        <v>390</v>
      </c>
      <c r="AF383" s="377">
        <f>IF(ISBLANK(Table2[[#This Row],[Roster Received by]]),1,0)</f>
        <v>0</v>
      </c>
      <c r="AG383" s="377">
        <f ca="1">IF(Table2[[#This Row],[Start Date]]&gt;TODAY(),1,)</f>
        <v>1</v>
      </c>
      <c r="AH383" s="377">
        <f>IF(ISBLANK(Table2[[#This Row],[Primary Instructor]]),0,1)</f>
        <v>1</v>
      </c>
      <c r="AI383" s="377">
        <f>IF(ISBLANK(Table2[[#This Row],[Instructor 2]]),0,1)</f>
        <v>0</v>
      </c>
      <c r="AJ383" s="377">
        <f>Table2[[#This Row],[Course Length (Hours)]]/(SUM(Table2[[#This Row],[1]:[2]]))</f>
        <v>0</v>
      </c>
      <c r="AK383" s="377"/>
      <c r="AL383" s="400">
        <v>4</v>
      </c>
      <c r="AM383" s="403" t="str">
        <f>VLOOKUP(Table2[[#This Row],[Course Title]],'TSD-Data'!$A$1:$G$70,7,FALSE)</f>
        <v>TSD</v>
      </c>
    </row>
    <row r="384" spans="1:39" s="380" customFormat="1" x14ac:dyDescent="0.25">
      <c r="A384" s="368"/>
      <c r="B384" s="432" t="s">
        <v>37</v>
      </c>
      <c r="C384" s="370" t="str">
        <f>VLOOKUP(Table2[[#This Row],[Course Title]],'TSD-Data'!$A$1:$E$70,2,FALSE)</f>
        <v>A-493-0665</v>
      </c>
      <c r="D384" s="370" t="str">
        <f>VLOOKUP(Table2[[#This Row],[Course Title]],'TSD-Data'!$A$1:$E$70,3,FALSE)</f>
        <v>10KW</v>
      </c>
      <c r="E384" s="369" t="s">
        <v>86</v>
      </c>
      <c r="F384" s="371">
        <v>46209</v>
      </c>
      <c r="G384" s="371">
        <v>46211</v>
      </c>
      <c r="H384" s="371" t="s">
        <v>752</v>
      </c>
      <c r="I384" s="372"/>
      <c r="J384" s="372">
        <v>0.5</v>
      </c>
      <c r="K384" s="381">
        <v>0.375</v>
      </c>
      <c r="L384" s="381">
        <v>0.79166666666666663</v>
      </c>
      <c r="M384" s="381">
        <v>0.75</v>
      </c>
      <c r="N384" s="381">
        <v>0.25</v>
      </c>
      <c r="O384" s="381">
        <v>4.1666666666666664E-2</v>
      </c>
      <c r="P384" s="375" t="s">
        <v>248</v>
      </c>
      <c r="Q384" s="375"/>
      <c r="R384" s="376"/>
      <c r="S384" s="370">
        <f>VLOOKUP(Table2[[#This Row],[Course Title]],'TSD-Data'!$A$1:$E$70,4,FALSE)</f>
        <v>45</v>
      </c>
      <c r="T384" s="377">
        <f>VLOOKUP(Table2[[#This Row],[Course Title]],'TSD-Data'!$A$1:$F$70,6,FALSE)</f>
        <v>24</v>
      </c>
      <c r="U384" s="378">
        <f>VLOOKUP(Table2[[#This Row],[Course Title]],'TSD-Data'!$A$1:$F$70,5,FALSE)</f>
        <v>3</v>
      </c>
      <c r="V384" s="379">
        <v>337</v>
      </c>
      <c r="W384" s="377"/>
      <c r="X384" s="377"/>
      <c r="Y384" s="378"/>
      <c r="Z384" s="378"/>
      <c r="AA384" s="370"/>
      <c r="AB384" s="370"/>
      <c r="AC384" s="370"/>
      <c r="AD384" s="370"/>
      <c r="AE384" s="378">
        <f ca="1">Table2[[#This Row],[End Date]]+2-TODAY()</f>
        <v>395</v>
      </c>
      <c r="AF384" s="370">
        <f>IF(ISBLANK(Table2[[#This Row],[Roster Received by]]),1,0)</f>
        <v>1</v>
      </c>
      <c r="AG384" s="377">
        <f ca="1">IF(Table2[[#This Row],[Start Date]]&gt;TODAY(),1,)</f>
        <v>1</v>
      </c>
      <c r="AH384" s="377">
        <f>IF(ISBLANK(Table2[[#This Row],[Primary Instructor]]),0,1)</f>
        <v>1</v>
      </c>
      <c r="AI384" s="377">
        <f>IF(ISBLANK(Table2[[#This Row],[Instructor 2]]),0,1)</f>
        <v>0</v>
      </c>
      <c r="AJ384" s="377">
        <f>Table2[[#This Row],[Course Length (Hours)]]/(SUM(Table2[[#This Row],[1]:[2]]))</f>
        <v>24</v>
      </c>
      <c r="AK384" s="370"/>
      <c r="AL384" s="400">
        <v>4</v>
      </c>
      <c r="AM384" s="403" t="str">
        <f>VLOOKUP(Table2[[#This Row],[Course Title]],'TSD-Data'!$A$1:$G$70,7,FALSE)</f>
        <v>N5</v>
      </c>
    </row>
    <row r="385" spans="1:39" s="380" customFormat="1" x14ac:dyDescent="0.25">
      <c r="A385" s="413"/>
      <c r="B385" s="414" t="s">
        <v>35</v>
      </c>
      <c r="C385" s="370" t="str">
        <f>VLOOKUP(Table2[[#This Row],[Course Title]],'TSD-Data'!$A$1:$E$70,2,FALSE)</f>
        <v>A-493-2501</v>
      </c>
      <c r="D385" s="370" t="str">
        <f>VLOOKUP(Table2[[#This Row],[Course Title]],'TSD-Data'!$A$1:$E$70,3,FALSE)</f>
        <v>05ZE</v>
      </c>
      <c r="E385" s="414" t="s">
        <v>157</v>
      </c>
      <c r="F385" s="416">
        <v>46209</v>
      </c>
      <c r="G385" s="416">
        <v>46209</v>
      </c>
      <c r="H385" s="426" t="s">
        <v>753</v>
      </c>
      <c r="I385" s="417">
        <v>0.33333333333333331</v>
      </c>
      <c r="J385" s="417"/>
      <c r="K385" s="416"/>
      <c r="L385" s="416"/>
      <c r="M385" s="416"/>
      <c r="N385" s="416"/>
      <c r="O385" s="416"/>
      <c r="P385" s="418" t="s">
        <v>241</v>
      </c>
      <c r="Q385" s="418"/>
      <c r="R385" s="376"/>
      <c r="S385" s="370">
        <f>VLOOKUP(Table2[[#This Row],[Course Title]],'TSD-Data'!$A$1:$E$70,4,FALSE)</f>
        <v>30</v>
      </c>
      <c r="T385" s="377">
        <f>VLOOKUP(Table2[[#This Row],[Course Title]],'TSD-Data'!$A$1:$F$70,6,FALSE)</f>
        <v>8</v>
      </c>
      <c r="U385" s="378">
        <f>VLOOKUP(Table2[[#This Row],[Course Title]],'TSD-Data'!$A$1:$F$70,5,FALSE)</f>
        <v>1</v>
      </c>
      <c r="V385" s="379">
        <v>54</v>
      </c>
      <c r="W385" s="377"/>
      <c r="X385" s="377"/>
      <c r="Y385" s="420"/>
      <c r="Z385" s="420"/>
      <c r="AA385" s="415"/>
      <c r="AB385" s="415"/>
      <c r="AC385" s="421"/>
      <c r="AD385" s="421"/>
      <c r="AE385" s="420">
        <v>404</v>
      </c>
      <c r="AF385" s="415">
        <v>1</v>
      </c>
      <c r="AG385" s="403">
        <v>1</v>
      </c>
      <c r="AH385" s="403">
        <v>1</v>
      </c>
      <c r="AI385" s="403">
        <v>0</v>
      </c>
      <c r="AJ385" s="403">
        <v>8</v>
      </c>
      <c r="AK385" s="415"/>
      <c r="AL385" s="400">
        <v>4</v>
      </c>
      <c r="AM385" s="403" t="str">
        <f>VLOOKUP(Table2[[#This Row],[Course Title]],'TSD-Data'!$A$1:$G$70,7,FALSE)</f>
        <v>N4</v>
      </c>
    </row>
    <row r="386" spans="1:39" s="380" customFormat="1" x14ac:dyDescent="0.25">
      <c r="A386" s="368"/>
      <c r="B386" s="369" t="s">
        <v>39</v>
      </c>
      <c r="C386" s="370" t="str">
        <f>VLOOKUP(Table2[[#This Row],[Course Title]],'TSD-Data'!$A$1:$E$70,2,FALSE)</f>
        <v>A-570-0100</v>
      </c>
      <c r="D386" s="370" t="str">
        <f>VLOOKUP(Table2[[#This Row],[Course Title]],'TSD-Data'!$A$1:$E$70,3,FALSE)</f>
        <v>18B7</v>
      </c>
      <c r="E386" s="369" t="s">
        <v>86</v>
      </c>
      <c r="F386" s="371">
        <v>46209</v>
      </c>
      <c r="G386" s="371">
        <v>46210</v>
      </c>
      <c r="H386" s="371" t="s">
        <v>752</v>
      </c>
      <c r="I386" s="372"/>
      <c r="J386" s="372">
        <v>0.33333333333333331</v>
      </c>
      <c r="K386" s="372">
        <v>0.20833333333333334</v>
      </c>
      <c r="L386" s="372">
        <v>0.625</v>
      </c>
      <c r="M386" s="372">
        <v>0.54166666666666663</v>
      </c>
      <c r="N386" s="372">
        <v>8.3333333333333329E-2</v>
      </c>
      <c r="O386" s="372">
        <v>0.875</v>
      </c>
      <c r="P386" s="375" t="s">
        <v>252</v>
      </c>
      <c r="Q386" s="375"/>
      <c r="R386" s="376"/>
      <c r="S386" s="370">
        <f>VLOOKUP(Table2[[#This Row],[Course Title]],'TSD-Data'!$A$1:$E$70,4,FALSE)</f>
        <v>45</v>
      </c>
      <c r="T386" s="377">
        <f>VLOOKUP(Table2[[#This Row],[Course Title]],'TSD-Data'!$A$1:$F$70,6,FALSE)</f>
        <v>16</v>
      </c>
      <c r="U386" s="378">
        <f>VLOOKUP(Table2[[#This Row],[Course Title]],'TSD-Data'!$A$1:$F$70,5,FALSE)</f>
        <v>2</v>
      </c>
      <c r="V386" s="379">
        <v>326</v>
      </c>
      <c r="W386" s="377"/>
      <c r="X386" s="377"/>
      <c r="Y386" s="378"/>
      <c r="Z386" s="378"/>
      <c r="AA386" s="370"/>
      <c r="AB386" s="370"/>
      <c r="AC386" s="370"/>
      <c r="AD386" s="370"/>
      <c r="AE386" s="378">
        <f ca="1">Table2[[#This Row],[End Date]]+2-TODAY()</f>
        <v>394</v>
      </c>
      <c r="AF386" s="370">
        <f>IF(ISBLANK(Table2[[#This Row],[Roster Received by]]),1,0)</f>
        <v>1</v>
      </c>
      <c r="AG386" s="377">
        <f ca="1">IF(Table2[[#This Row],[Start Date]]&gt;TODAY(),1,)</f>
        <v>1</v>
      </c>
      <c r="AH386" s="377">
        <f>IF(ISBLANK(Table2[[#This Row],[Primary Instructor]]),0,1)</f>
        <v>1</v>
      </c>
      <c r="AI386" s="377">
        <f>IF(ISBLANK(Table2[[#This Row],[Instructor 2]]),0,1)</f>
        <v>0</v>
      </c>
      <c r="AJ386" s="377">
        <f>Table2[[#This Row],[Course Length (Hours)]]/(SUM(Table2[[#This Row],[1]:[2]]))</f>
        <v>16</v>
      </c>
      <c r="AK386" s="370"/>
      <c r="AL386" s="400">
        <v>4</v>
      </c>
      <c r="AM386" s="403" t="str">
        <f>VLOOKUP(Table2[[#This Row],[Course Title]],'TSD-Data'!$A$1:$G$70,7,FALSE)</f>
        <v>N5</v>
      </c>
    </row>
    <row r="387" spans="1:39" s="380" customFormat="1" x14ac:dyDescent="0.25">
      <c r="A387" s="413" t="s">
        <v>738</v>
      </c>
      <c r="B387" s="414" t="s">
        <v>28</v>
      </c>
      <c r="C387" s="370" t="str">
        <f>VLOOKUP(Table2[[#This Row],[Course Title]],'TSD-Data'!$A$1:$E$70,2,FALSE)</f>
        <v>A-493-0013</v>
      </c>
      <c r="D387" s="370">
        <f>VLOOKUP(Table2[[#This Row],[Course Title]],'TSD-Data'!$A$1:$E$70,3,FALSE)</f>
        <v>3683</v>
      </c>
      <c r="E387" s="414" t="s">
        <v>300</v>
      </c>
      <c r="F387" s="416">
        <v>46210</v>
      </c>
      <c r="G387" s="416">
        <v>46212</v>
      </c>
      <c r="H387" s="426" t="s">
        <v>753</v>
      </c>
      <c r="I387" s="417">
        <v>0.33333333333333331</v>
      </c>
      <c r="J387" s="417"/>
      <c r="K387" s="416"/>
      <c r="L387" s="416"/>
      <c r="M387" s="416"/>
      <c r="N387" s="416"/>
      <c r="O387" s="416"/>
      <c r="P387" s="418" t="s">
        <v>241</v>
      </c>
      <c r="Q387" s="418"/>
      <c r="R387" s="376"/>
      <c r="S387" s="370">
        <f>VLOOKUP(Table2[[#This Row],[Course Title]],'TSD-Data'!$A$1:$E$70,4,FALSE)</f>
        <v>40</v>
      </c>
      <c r="T387" s="377">
        <f>VLOOKUP(Table2[[#This Row],[Course Title]],'TSD-Data'!$A$1:$F$70,6,FALSE)</f>
        <v>24</v>
      </c>
      <c r="U387" s="378">
        <f>VLOOKUP(Table2[[#This Row],[Course Title]],'TSD-Data'!$A$1:$F$70,5,FALSE)</f>
        <v>3</v>
      </c>
      <c r="V387" s="379">
        <v>30</v>
      </c>
      <c r="W387" s="377"/>
      <c r="X387" s="377"/>
      <c r="Y387" s="420"/>
      <c r="Z387" s="420"/>
      <c r="AA387" s="415"/>
      <c r="AB387" s="415"/>
      <c r="AC387" s="421"/>
      <c r="AD387" s="421"/>
      <c r="AE387" s="420">
        <v>407</v>
      </c>
      <c r="AF387" s="415">
        <v>1</v>
      </c>
      <c r="AG387" s="403">
        <v>1</v>
      </c>
      <c r="AH387" s="403">
        <v>1</v>
      </c>
      <c r="AI387" s="403">
        <v>0</v>
      </c>
      <c r="AJ387" s="403">
        <v>24</v>
      </c>
      <c r="AK387" s="415"/>
      <c r="AL387" s="400">
        <v>4</v>
      </c>
      <c r="AM387" s="403" t="str">
        <f>VLOOKUP(Table2[[#This Row],[Course Title]],'TSD-Data'!$A$1:$G$70,7,FALSE)</f>
        <v>N4</v>
      </c>
    </row>
    <row r="388" spans="1:39" s="380" customFormat="1" x14ac:dyDescent="0.25">
      <c r="A388" s="413"/>
      <c r="B388" s="369" t="s">
        <v>29</v>
      </c>
      <c r="C388" s="370" t="str">
        <f>VLOOKUP(Table2[[#This Row],[Course Title]],'TSD-Data'!$A$1:$E$70,2,FALSE)</f>
        <v>A-493-0077</v>
      </c>
      <c r="D388" s="370" t="str">
        <f>VLOOKUP(Table2[[#This Row],[Course Title]],'TSD-Data'!$A$1:$E$70,3,FALSE)</f>
        <v>0381</v>
      </c>
      <c r="E388" s="414" t="s">
        <v>416</v>
      </c>
      <c r="F388" s="416">
        <v>46210</v>
      </c>
      <c r="G388" s="416">
        <v>46212</v>
      </c>
      <c r="H388" s="426" t="s">
        <v>753</v>
      </c>
      <c r="I388" s="417">
        <v>0.33333333333333331</v>
      </c>
      <c r="J388" s="417"/>
      <c r="K388" s="416"/>
      <c r="L388" s="416"/>
      <c r="M388" s="416"/>
      <c r="N388" s="416"/>
      <c r="O388" s="416"/>
      <c r="P388" s="418" t="s">
        <v>241</v>
      </c>
      <c r="Q388" s="418"/>
      <c r="R388" s="376"/>
      <c r="S388" s="370">
        <f>VLOOKUP(Table2[[#This Row],[Course Title]],'TSD-Data'!$A$1:$E$70,4,FALSE)</f>
        <v>25</v>
      </c>
      <c r="T388" s="377">
        <f>VLOOKUP(Table2[[#This Row],[Course Title]],'TSD-Data'!$A$1:$F$70,6,FALSE)</f>
        <v>24</v>
      </c>
      <c r="U388" s="378">
        <f>VLOOKUP(Table2[[#This Row],[Course Title]],'TSD-Data'!$A$1:$F$70,5,FALSE)</f>
        <v>3</v>
      </c>
      <c r="V388" s="379">
        <v>25</v>
      </c>
      <c r="W388" s="377"/>
      <c r="X388" s="377"/>
      <c r="Y388" s="420"/>
      <c r="Z388" s="420"/>
      <c r="AA388" s="415"/>
      <c r="AB388" s="415"/>
      <c r="AC388" s="421"/>
      <c r="AD388" s="421"/>
      <c r="AE388" s="420">
        <v>407</v>
      </c>
      <c r="AF388" s="415">
        <v>1</v>
      </c>
      <c r="AG388" s="403">
        <v>1</v>
      </c>
      <c r="AH388" s="403">
        <v>1</v>
      </c>
      <c r="AI388" s="403">
        <v>0</v>
      </c>
      <c r="AJ388" s="403">
        <v>24</v>
      </c>
      <c r="AK388" s="415"/>
      <c r="AL388" s="400">
        <v>4</v>
      </c>
      <c r="AM388" s="403" t="str">
        <f>VLOOKUP(Table2[[#This Row],[Course Title]],'TSD-Data'!$A$1:$G$70,7,FALSE)</f>
        <v>N4</v>
      </c>
    </row>
    <row r="389" spans="1:39" s="380" customFormat="1" x14ac:dyDescent="0.25">
      <c r="A389" s="368"/>
      <c r="B389" s="435" t="s">
        <v>50</v>
      </c>
      <c r="C389" s="370" t="str">
        <f>VLOOKUP(Table2[[#This Row],[Course Title]],'TSD-Data'!$A$1:$E$70,2,FALSE)</f>
        <v>A-493-0331</v>
      </c>
      <c r="D389" s="370" t="str">
        <f>VLOOKUP(Table2[[#This Row],[Course Title]],'TSD-Data'!$A$1:$E$70,3,FALSE)</f>
        <v>10UG</v>
      </c>
      <c r="E389" s="369" t="s">
        <v>86</v>
      </c>
      <c r="F389" s="371">
        <v>46210</v>
      </c>
      <c r="G389" s="371">
        <v>46212</v>
      </c>
      <c r="H389" s="371" t="s">
        <v>752</v>
      </c>
      <c r="I389" s="372"/>
      <c r="J389" s="372">
        <v>0.5</v>
      </c>
      <c r="K389" s="381">
        <v>0.375</v>
      </c>
      <c r="L389" s="381">
        <v>0.79166666666666663</v>
      </c>
      <c r="M389" s="381">
        <v>0.75</v>
      </c>
      <c r="N389" s="381">
        <v>0.25</v>
      </c>
      <c r="O389" s="381">
        <v>4.1666666666666664E-2</v>
      </c>
      <c r="P389" s="375" t="s">
        <v>233</v>
      </c>
      <c r="Q389" s="375"/>
      <c r="R389" s="376"/>
      <c r="S389" s="370">
        <f>VLOOKUP(Table2[[#This Row],[Course Title]],'TSD-Data'!$A$1:$E$70,4,FALSE)</f>
        <v>45</v>
      </c>
      <c r="T389" s="377">
        <f>VLOOKUP(Table2[[#This Row],[Course Title]],'TSD-Data'!$A$1:$F$70,6,FALSE)</f>
        <v>24</v>
      </c>
      <c r="U389" s="378">
        <f>VLOOKUP(Table2[[#This Row],[Course Title]],'TSD-Data'!$A$1:$F$70,5,FALSE)</f>
        <v>3</v>
      </c>
      <c r="V389" s="379">
        <v>844</v>
      </c>
      <c r="W389" s="377"/>
      <c r="X389" s="377"/>
      <c r="Y389" s="378"/>
      <c r="Z389" s="378"/>
      <c r="AA389" s="370"/>
      <c r="AB389" s="370"/>
      <c r="AC389" s="370"/>
      <c r="AD389" s="370"/>
      <c r="AE389" s="378">
        <f ca="1">Table2[[#This Row],[End Date]]+2-TODAY()</f>
        <v>396</v>
      </c>
      <c r="AF389" s="370">
        <f>IF(ISBLANK(Table2[[#This Row],[Roster Received by]]),1,0)</f>
        <v>1</v>
      </c>
      <c r="AG389" s="377">
        <f ca="1">IF(Table2[[#This Row],[Start Date]]&gt;TODAY(),1,)</f>
        <v>1</v>
      </c>
      <c r="AH389" s="377">
        <f>IF(ISBLANK(Table2[[#This Row],[Primary Instructor]]),0,1)</f>
        <v>1</v>
      </c>
      <c r="AI389" s="377">
        <f>IF(ISBLANK(Table2[[#This Row],[Instructor 2]]),0,1)</f>
        <v>0</v>
      </c>
      <c r="AJ389" s="377">
        <f>Table2[[#This Row],[Course Length (Hours)]]/(SUM(Table2[[#This Row],[1]:[2]]))</f>
        <v>24</v>
      </c>
      <c r="AK389" s="370"/>
      <c r="AL389" s="400">
        <v>4</v>
      </c>
      <c r="AM389" s="403" t="str">
        <f>VLOOKUP(Table2[[#This Row],[Course Title]],'TSD-Data'!$A$1:$G$70,7,FALSE)</f>
        <v>N3</v>
      </c>
    </row>
    <row r="390" spans="1:39" s="380" customFormat="1" x14ac:dyDescent="0.25">
      <c r="A390" s="368"/>
      <c r="B390" s="369" t="s">
        <v>59</v>
      </c>
      <c r="C390" s="370" t="str">
        <f>VLOOKUP(Table2[[#This Row],[Course Title]],'TSD-Data'!$A$1:$E$70,2,FALSE)</f>
        <v>A-493-0550</v>
      </c>
      <c r="D390" s="370" t="str">
        <f>VLOOKUP(Table2[[#This Row],[Course Title]],'TSD-Data'!$A$1:$E$70,3,FALSE)</f>
        <v>09K5</v>
      </c>
      <c r="E390" s="369" t="s">
        <v>86</v>
      </c>
      <c r="F390" s="371">
        <v>46210</v>
      </c>
      <c r="G390" s="371">
        <v>46213</v>
      </c>
      <c r="H390" s="371" t="s">
        <v>752</v>
      </c>
      <c r="I390" s="372"/>
      <c r="J390" s="372">
        <v>0.5</v>
      </c>
      <c r="K390" s="381">
        <v>0.375</v>
      </c>
      <c r="L390" s="381">
        <v>0.79166666666666663</v>
      </c>
      <c r="M390" s="381">
        <v>0.75</v>
      </c>
      <c r="N390" s="381">
        <v>0.25</v>
      </c>
      <c r="O390" s="381">
        <v>4.1666666666666664E-2</v>
      </c>
      <c r="P390" s="375" t="s">
        <v>272</v>
      </c>
      <c r="Q390" s="375"/>
      <c r="R390" s="376"/>
      <c r="S390" s="370">
        <f>VLOOKUP(Table2[[#This Row],[Course Title]],'TSD-Data'!$A$1:$E$70,4,FALSE)</f>
        <v>45</v>
      </c>
      <c r="T390" s="377">
        <f>VLOOKUP(Table2[[#This Row],[Course Title]],'TSD-Data'!$A$1:$F$70,6,FALSE)</f>
        <v>32</v>
      </c>
      <c r="U390" s="378">
        <f>VLOOKUP(Table2[[#This Row],[Course Title]],'TSD-Data'!$A$1:$F$70,5,FALSE)</f>
        <v>4</v>
      </c>
      <c r="V390" s="379">
        <v>864</v>
      </c>
      <c r="W390" s="377"/>
      <c r="X390" s="377"/>
      <c r="Y390" s="378"/>
      <c r="Z390" s="378"/>
      <c r="AA390" s="370"/>
      <c r="AB390" s="370"/>
      <c r="AC390" s="370"/>
      <c r="AD390" s="370"/>
      <c r="AE390" s="378">
        <f ca="1">Table2[[#This Row],[End Date]]+2-TODAY()</f>
        <v>397</v>
      </c>
      <c r="AF390" s="370">
        <f>IF(ISBLANK(Table2[[#This Row],[Roster Received by]]),1,0)</f>
        <v>1</v>
      </c>
      <c r="AG390" s="377">
        <f ca="1">IF(Table2[[#This Row],[Start Date]]&gt;TODAY(),1,)</f>
        <v>1</v>
      </c>
      <c r="AH390" s="377">
        <f>IF(ISBLANK(Table2[[#This Row],[Primary Instructor]]),0,1)</f>
        <v>1</v>
      </c>
      <c r="AI390" s="377">
        <f>IF(ISBLANK(Table2[[#This Row],[Instructor 2]]),0,1)</f>
        <v>0</v>
      </c>
      <c r="AJ390" s="377">
        <f>Table2[[#This Row],[Course Length (Hours)]]/(SUM(Table2[[#This Row],[1]:[2]]))</f>
        <v>32</v>
      </c>
      <c r="AK390" s="370"/>
      <c r="AL390" s="400">
        <v>4</v>
      </c>
      <c r="AM390" s="403" t="str">
        <f>VLOOKUP(Table2[[#This Row],[Course Title]],'TSD-Data'!$A$1:$G$70,7,FALSE)</f>
        <v>N5</v>
      </c>
    </row>
    <row r="391" spans="1:39" s="380" customFormat="1" x14ac:dyDescent="0.25">
      <c r="A391" s="413"/>
      <c r="B391" s="414" t="s">
        <v>35</v>
      </c>
      <c r="C391" s="370" t="str">
        <f>VLOOKUP(Table2[[#This Row],[Course Title]],'TSD-Data'!$A$1:$E$70,2,FALSE)</f>
        <v>A-493-2501</v>
      </c>
      <c r="D391" s="370" t="str">
        <f>VLOOKUP(Table2[[#This Row],[Course Title]],'TSD-Data'!$A$1:$E$70,3,FALSE)</f>
        <v>05ZE</v>
      </c>
      <c r="E391" s="414" t="s">
        <v>178</v>
      </c>
      <c r="F391" s="416">
        <v>46210</v>
      </c>
      <c r="G391" s="416">
        <v>46210</v>
      </c>
      <c r="H391" s="426" t="s">
        <v>753</v>
      </c>
      <c r="I391" s="417">
        <v>0.33333333333333331</v>
      </c>
      <c r="J391" s="417"/>
      <c r="K391" s="416"/>
      <c r="L391" s="416"/>
      <c r="M391" s="416"/>
      <c r="N391" s="416"/>
      <c r="O391" s="416"/>
      <c r="P391" s="418" t="s">
        <v>241</v>
      </c>
      <c r="Q391" s="418"/>
      <c r="R391" s="376"/>
      <c r="S391" s="370">
        <f>VLOOKUP(Table2[[#This Row],[Course Title]],'TSD-Data'!$A$1:$E$70,4,FALSE)</f>
        <v>30</v>
      </c>
      <c r="T391" s="377">
        <f>VLOOKUP(Table2[[#This Row],[Course Title]],'TSD-Data'!$A$1:$F$70,6,FALSE)</f>
        <v>8</v>
      </c>
      <c r="U391" s="378">
        <f>VLOOKUP(Table2[[#This Row],[Course Title]],'TSD-Data'!$A$1:$F$70,5,FALSE)</f>
        <v>1</v>
      </c>
      <c r="V391" s="379">
        <v>31</v>
      </c>
      <c r="W391" s="377"/>
      <c r="X391" s="377"/>
      <c r="Y391" s="420"/>
      <c r="Z391" s="420"/>
      <c r="AA391" s="415"/>
      <c r="AB391" s="415"/>
      <c r="AC391" s="421"/>
      <c r="AD391" s="421"/>
      <c r="AE391" s="420">
        <v>405</v>
      </c>
      <c r="AF391" s="415">
        <v>1</v>
      </c>
      <c r="AG391" s="403">
        <v>1</v>
      </c>
      <c r="AH391" s="403">
        <v>1</v>
      </c>
      <c r="AI391" s="403">
        <v>0</v>
      </c>
      <c r="AJ391" s="403">
        <v>8</v>
      </c>
      <c r="AK391" s="415"/>
      <c r="AL391" s="400">
        <v>4</v>
      </c>
      <c r="AM391" s="403" t="str">
        <f>VLOOKUP(Table2[[#This Row],[Course Title]],'TSD-Data'!$A$1:$G$70,7,FALSE)</f>
        <v>N4</v>
      </c>
    </row>
    <row r="392" spans="1:39" s="380" customFormat="1" x14ac:dyDescent="0.25">
      <c r="A392" s="368"/>
      <c r="B392" s="369" t="s">
        <v>57</v>
      </c>
      <c r="C392" s="370" t="str">
        <f>VLOOKUP(Table2[[#This Row],[Course Title]],'TSD-Data'!$A$1:$E$70,2,FALSE)</f>
        <v>A-493-0099</v>
      </c>
      <c r="D392" s="370" t="str">
        <f>VLOOKUP(Table2[[#This Row],[Course Title]],'TSD-Data'!$A$1:$E$70,3,FALSE)</f>
        <v>12JW</v>
      </c>
      <c r="E392" s="369" t="s">
        <v>86</v>
      </c>
      <c r="F392" s="371">
        <v>46211</v>
      </c>
      <c r="G392" s="371">
        <v>46213</v>
      </c>
      <c r="H392" s="371" t="s">
        <v>752</v>
      </c>
      <c r="I392" s="372"/>
      <c r="J392" s="372">
        <v>0.79166666666666663</v>
      </c>
      <c r="K392" s="381">
        <v>0.66666666666666663</v>
      </c>
      <c r="L392" s="381">
        <v>8.3333333333333329E-2</v>
      </c>
      <c r="M392" s="381">
        <v>0</v>
      </c>
      <c r="N392" s="381">
        <v>0.54166666666666663</v>
      </c>
      <c r="O392" s="381">
        <v>0.33333333333333331</v>
      </c>
      <c r="P392" s="375" t="s">
        <v>277</v>
      </c>
      <c r="Q392" s="375"/>
      <c r="R392" s="376"/>
      <c r="S392" s="370">
        <f>VLOOKUP(Table2[[#This Row],[Course Title]],'TSD-Data'!$A$1:$E$70,4,FALSE)</f>
        <v>45</v>
      </c>
      <c r="T392" s="377">
        <f>VLOOKUP(Table2[[#This Row],[Course Title]],'TSD-Data'!$A$1:$F$70,6,FALSE)</f>
        <v>24</v>
      </c>
      <c r="U392" s="378">
        <f>VLOOKUP(Table2[[#This Row],[Course Title]],'TSD-Data'!$A$1:$F$70,5,FALSE)</f>
        <v>3</v>
      </c>
      <c r="V392" s="379">
        <v>334</v>
      </c>
      <c r="W392" s="377"/>
      <c r="X392" s="377"/>
      <c r="Y392" s="378"/>
      <c r="Z392" s="378"/>
      <c r="AA392" s="370"/>
      <c r="AB392" s="370"/>
      <c r="AC392" s="370"/>
      <c r="AD392" s="370"/>
      <c r="AE392" s="378">
        <f ca="1">Table2[[#This Row],[End Date]]+2-TODAY()</f>
        <v>397</v>
      </c>
      <c r="AF392" s="370">
        <f>IF(ISBLANK(Table2[[#This Row],[Roster Received by]]),1,0)</f>
        <v>1</v>
      </c>
      <c r="AG392" s="377">
        <f ca="1">IF(Table2[[#This Row],[Start Date]]&gt;TODAY(),1,)</f>
        <v>1</v>
      </c>
      <c r="AH392" s="377">
        <f>IF(ISBLANK(Table2[[#This Row],[Primary Instructor]]),0,1)</f>
        <v>1</v>
      </c>
      <c r="AI392" s="377">
        <f>IF(ISBLANK(Table2[[#This Row],[Instructor 2]]),0,1)</f>
        <v>0</v>
      </c>
      <c r="AJ392" s="377">
        <f>Table2[[#This Row],[Course Length (Hours)]]/(SUM(Table2[[#This Row],[1]:[2]]))</f>
        <v>24</v>
      </c>
      <c r="AK392" s="370"/>
      <c r="AL392" s="400">
        <v>4</v>
      </c>
      <c r="AM392" s="403" t="str">
        <f>VLOOKUP(Table2[[#This Row],[Course Title]],'TSD-Data'!$A$1:$G$70,7,FALSE)</f>
        <v>N5</v>
      </c>
    </row>
    <row r="393" spans="1:39" s="380" customFormat="1" x14ac:dyDescent="0.25">
      <c r="A393" s="431"/>
      <c r="B393" s="369" t="s">
        <v>31</v>
      </c>
      <c r="C393" s="370" t="str">
        <f>VLOOKUP(Table2[[#This Row],[Course Title]],'TSD-Data'!$A$1:$E$70,2,FALSE)</f>
        <v>A-493-0083</v>
      </c>
      <c r="D393" s="370" t="str">
        <f>VLOOKUP(Table2[[#This Row],[Course Title]],'TSD-Data'!$A$1:$E$70,3,FALSE)</f>
        <v>339E</v>
      </c>
      <c r="E393" s="414" t="s">
        <v>416</v>
      </c>
      <c r="F393" s="416">
        <v>46213</v>
      </c>
      <c r="G393" s="416">
        <v>46213</v>
      </c>
      <c r="H393" s="426" t="s">
        <v>753</v>
      </c>
      <c r="I393" s="417">
        <v>0.33333333333333331</v>
      </c>
      <c r="J393" s="417"/>
      <c r="K393" s="416"/>
      <c r="L393" s="416"/>
      <c r="M393" s="416"/>
      <c r="N393" s="416"/>
      <c r="O393" s="416"/>
      <c r="P393" s="418" t="s">
        <v>241</v>
      </c>
      <c r="Q393" s="418"/>
      <c r="R393" s="376"/>
      <c r="S393" s="370">
        <f>VLOOKUP(Table2[[#This Row],[Course Title]],'TSD-Data'!$A$1:$E$70,4,FALSE)</f>
        <v>30</v>
      </c>
      <c r="T393" s="377">
        <f>VLOOKUP(Table2[[#This Row],[Course Title]],'TSD-Data'!$A$1:$F$70,6,FALSE)</f>
        <v>8</v>
      </c>
      <c r="U393" s="378">
        <f>VLOOKUP(Table2[[#This Row],[Course Title]],'TSD-Data'!$A$1:$F$70,5,FALSE)</f>
        <v>1</v>
      </c>
      <c r="V393" s="379">
        <v>27</v>
      </c>
      <c r="W393" s="377"/>
      <c r="X393" s="377"/>
      <c r="Y393" s="420"/>
      <c r="Z393" s="420"/>
      <c r="AA393" s="415"/>
      <c r="AB393" s="415"/>
      <c r="AC393" s="421"/>
      <c r="AD393" s="421"/>
      <c r="AE393" s="420">
        <v>408</v>
      </c>
      <c r="AF393" s="415">
        <v>1</v>
      </c>
      <c r="AG393" s="403">
        <v>1</v>
      </c>
      <c r="AH393" s="403">
        <v>1</v>
      </c>
      <c r="AI393" s="403">
        <v>0</v>
      </c>
      <c r="AJ393" s="403">
        <v>8</v>
      </c>
      <c r="AK393" s="415"/>
      <c r="AL393" s="400">
        <v>4</v>
      </c>
      <c r="AM393" s="403" t="str">
        <f>VLOOKUP(Table2[[#This Row],[Course Title]],'TSD-Data'!$A$1:$G$70,7,FALSE)</f>
        <v>N4</v>
      </c>
    </row>
    <row r="394" spans="1:39" s="380" customFormat="1" x14ac:dyDescent="0.25">
      <c r="A394" s="413"/>
      <c r="B394" s="414" t="s">
        <v>35</v>
      </c>
      <c r="C394" s="370" t="str">
        <f>VLOOKUP(Table2[[#This Row],[Course Title]],'TSD-Data'!$A$1:$E$70,2,FALSE)</f>
        <v>A-493-2501</v>
      </c>
      <c r="D394" s="370" t="str">
        <f>VLOOKUP(Table2[[#This Row],[Course Title]],'TSD-Data'!$A$1:$E$70,3,FALSE)</f>
        <v>05ZE</v>
      </c>
      <c r="E394" s="414" t="s">
        <v>216</v>
      </c>
      <c r="F394" s="416">
        <v>46213</v>
      </c>
      <c r="G394" s="416">
        <v>46213</v>
      </c>
      <c r="H394" s="426" t="s">
        <v>753</v>
      </c>
      <c r="I394" s="417">
        <v>0.33333333333333331</v>
      </c>
      <c r="J394" s="417"/>
      <c r="K394" s="416"/>
      <c r="L394" s="416"/>
      <c r="M394" s="416"/>
      <c r="N394" s="416"/>
      <c r="O394" s="416"/>
      <c r="P394" s="418" t="s">
        <v>241</v>
      </c>
      <c r="Q394" s="418"/>
      <c r="R394" s="376"/>
      <c r="S394" s="370">
        <f>VLOOKUP(Table2[[#This Row],[Course Title]],'TSD-Data'!$A$1:$E$70,4,FALSE)</f>
        <v>30</v>
      </c>
      <c r="T394" s="377">
        <f>VLOOKUP(Table2[[#This Row],[Course Title]],'TSD-Data'!$A$1:$F$70,6,FALSE)</f>
        <v>8</v>
      </c>
      <c r="U394" s="378">
        <f>VLOOKUP(Table2[[#This Row],[Course Title]],'TSD-Data'!$A$1:$F$70,5,FALSE)</f>
        <v>1</v>
      </c>
      <c r="V394" s="379">
        <v>10</v>
      </c>
      <c r="W394" s="377"/>
      <c r="X394" s="377"/>
      <c r="Y394" s="420"/>
      <c r="Z394" s="420"/>
      <c r="AA394" s="415"/>
      <c r="AB394" s="415"/>
      <c r="AC394" s="421"/>
      <c r="AD394" s="421"/>
      <c r="AE394" s="420">
        <v>408</v>
      </c>
      <c r="AF394" s="415">
        <v>1</v>
      </c>
      <c r="AG394" s="403">
        <v>1</v>
      </c>
      <c r="AH394" s="403">
        <v>1</v>
      </c>
      <c r="AI394" s="403">
        <v>0</v>
      </c>
      <c r="AJ394" s="403">
        <v>8</v>
      </c>
      <c r="AK394" s="415"/>
      <c r="AL394" s="400">
        <v>4</v>
      </c>
      <c r="AM394" s="403" t="str">
        <f>VLOOKUP(Table2[[#This Row],[Course Title]],'TSD-Data'!$A$1:$G$70,7,FALSE)</f>
        <v>N4</v>
      </c>
    </row>
    <row r="395" spans="1:39" s="380" customFormat="1" x14ac:dyDescent="0.25">
      <c r="A395" s="369"/>
      <c r="B395" s="432" t="s">
        <v>15</v>
      </c>
      <c r="C395" s="370" t="str">
        <f>VLOOKUP(Table2[[#This Row],[Course Title]],'TSD-Data'!$A$1:$E$70,2,FALSE)</f>
        <v>A-4J-0022</v>
      </c>
      <c r="D395" s="370" t="str">
        <f>VLOOKUP(Table2[[#This Row],[Course Title]],'TSD-Data'!$A$1:$E$70,3,FALSE)</f>
        <v>09ER</v>
      </c>
      <c r="E395" s="432" t="s">
        <v>86</v>
      </c>
      <c r="F395" s="371">
        <v>46216</v>
      </c>
      <c r="G395" s="371">
        <v>46220</v>
      </c>
      <c r="H395" s="371" t="s">
        <v>752</v>
      </c>
      <c r="I395" s="372"/>
      <c r="J395" s="439">
        <v>0.5</v>
      </c>
      <c r="K395" s="439">
        <v>0.375</v>
      </c>
      <c r="L395" s="439">
        <v>0.79166666666666663</v>
      </c>
      <c r="M395" s="439">
        <v>0.75</v>
      </c>
      <c r="N395" s="439">
        <v>0.25</v>
      </c>
      <c r="O395" s="439">
        <v>4.1666666666666664E-2</v>
      </c>
      <c r="P395" s="375" t="s">
        <v>233</v>
      </c>
      <c r="Q395" s="375"/>
      <c r="R395" s="375"/>
      <c r="S395" s="370">
        <f>VLOOKUP(Table2[[#This Row],[Course Title]],'TSD-Data'!$A$1:$E$70,4,FALSE)</f>
        <v>45</v>
      </c>
      <c r="T395" s="377">
        <f>VLOOKUP(Table2[[#This Row],[Course Title]],'TSD-Data'!$A$1:$F$70,6,FALSE)</f>
        <v>16</v>
      </c>
      <c r="U395" s="378">
        <f>VLOOKUP(Table2[[#This Row],[Course Title]],'TSD-Data'!$A$1:$F$70,5,FALSE)</f>
        <v>2</v>
      </c>
      <c r="V395" s="379">
        <v>130</v>
      </c>
      <c r="W395" s="377"/>
      <c r="X395" s="377"/>
      <c r="Y395" s="379"/>
      <c r="Z395" s="379"/>
      <c r="AA395" s="377"/>
      <c r="AB395" s="377"/>
      <c r="AC395" s="377"/>
      <c r="AD395" s="377"/>
      <c r="AE395" s="379">
        <f ca="1">Table2[[#This Row],[End Date]]+2-TODAY()</f>
        <v>404</v>
      </c>
      <c r="AF395" s="377">
        <f>IF(ISBLANK(Table2[[#This Row],[Roster Received by]]),1,0)</f>
        <v>1</v>
      </c>
      <c r="AG395" s="377">
        <f ca="1">IF(Table2[[#This Row],[Start Date]]&gt;TODAY(),1,)</f>
        <v>1</v>
      </c>
      <c r="AH395" s="377">
        <f>IF(ISBLANK(Table2[[#This Row],[Primary Instructor]]),0,1)</f>
        <v>1</v>
      </c>
      <c r="AI395" s="377">
        <f>IF(ISBLANK(Table2[[#This Row],[Instructor 2]]),0,1)</f>
        <v>0</v>
      </c>
      <c r="AJ395" s="377">
        <f>Table2[[#This Row],[Course Length (Hours)]]/(SUM(Table2[[#This Row],[1]:[2]]))</f>
        <v>16</v>
      </c>
      <c r="AK395" s="377"/>
      <c r="AL395" s="400">
        <v>4</v>
      </c>
      <c r="AM395" s="403" t="str">
        <f>VLOOKUP(Table2[[#This Row],[Course Title]],'TSD-Data'!$A$1:$G$70,7,FALSE)</f>
        <v>N4</v>
      </c>
    </row>
    <row r="396" spans="1:39" s="380" customFormat="1" x14ac:dyDescent="0.25">
      <c r="A396" s="368"/>
      <c r="B396" s="432" t="s">
        <v>55</v>
      </c>
      <c r="C396" s="370" t="str">
        <f>VLOOKUP(Table2[[#This Row],[Course Title]],'TSD-Data'!$A$1:$E$70,2,FALSE)</f>
        <v>A-493-0103</v>
      </c>
      <c r="D396" s="370" t="str">
        <f>VLOOKUP(Table2[[#This Row],[Course Title]],'TSD-Data'!$A$1:$E$70,3,FALSE)</f>
        <v>12JY</v>
      </c>
      <c r="E396" s="369" t="s">
        <v>178</v>
      </c>
      <c r="F396" s="371">
        <v>46216</v>
      </c>
      <c r="G396" s="371">
        <v>46220</v>
      </c>
      <c r="H396" s="371" t="s">
        <v>752</v>
      </c>
      <c r="I396" s="372">
        <v>0.33333333333333331</v>
      </c>
      <c r="J396" s="372"/>
      <c r="K396" s="371"/>
      <c r="L396" s="371"/>
      <c r="M396" s="371"/>
      <c r="N396" s="371"/>
      <c r="O396" s="371"/>
      <c r="P396" s="375" t="s">
        <v>289</v>
      </c>
      <c r="Q396" s="375"/>
      <c r="R396" s="376"/>
      <c r="S396" s="370">
        <f>VLOOKUP(Table2[[#This Row],[Course Title]],'TSD-Data'!$A$1:$E$70,4,FALSE)</f>
        <v>25</v>
      </c>
      <c r="T396" s="377">
        <f>VLOOKUP(Table2[[#This Row],[Course Title]],'TSD-Data'!$A$1:$F$70,6,FALSE)</f>
        <v>40</v>
      </c>
      <c r="U396" s="378">
        <f>VLOOKUP(Table2[[#This Row],[Course Title]],'TSD-Data'!$A$1:$F$70,5,FALSE)</f>
        <v>5</v>
      </c>
      <c r="V396" s="379">
        <v>55</v>
      </c>
      <c r="W396" s="377"/>
      <c r="X396" s="377"/>
      <c r="Y396" s="378"/>
      <c r="Z396" s="378"/>
      <c r="AA396" s="370"/>
      <c r="AB396" s="370"/>
      <c r="AC396" s="370"/>
      <c r="AD396" s="370"/>
      <c r="AE396" s="378">
        <f ca="1">Table2[[#This Row],[End Date]]+2-TODAY()</f>
        <v>404</v>
      </c>
      <c r="AF396" s="370">
        <f>IF(ISBLANK(Table2[[#This Row],[Roster Received by]]),1,0)</f>
        <v>1</v>
      </c>
      <c r="AG396" s="377">
        <f ca="1">IF(Table2[[#This Row],[Start Date]]&gt;TODAY(),1,)</f>
        <v>1</v>
      </c>
      <c r="AH396" s="377">
        <f>IF(ISBLANK(Table2[[#This Row],[Primary Instructor]]),0,1)</f>
        <v>1</v>
      </c>
      <c r="AI396" s="377">
        <f>IF(ISBLANK(Table2[[#This Row],[Instructor 2]]),0,1)</f>
        <v>0</v>
      </c>
      <c r="AJ396" s="377">
        <f>Table2[[#This Row],[Course Length (Hours)]]/(SUM(Table2[[#This Row],[1]:[2]]))</f>
        <v>40</v>
      </c>
      <c r="AK396" s="370"/>
      <c r="AL396" s="400">
        <v>4</v>
      </c>
      <c r="AM396" s="403" t="str">
        <f>VLOOKUP(Table2[[#This Row],[Course Title]],'TSD-Data'!$A$1:$G$70,7,FALSE)</f>
        <v>N5</v>
      </c>
    </row>
    <row r="397" spans="1:39" s="380" customFormat="1" x14ac:dyDescent="0.25">
      <c r="A397" s="368"/>
      <c r="B397" s="369" t="s">
        <v>120</v>
      </c>
      <c r="C397" s="370" t="str">
        <f>VLOOKUP(Table2[[#This Row],[Course Title]],'TSD-Data'!$A$1:$E$70,2,FALSE)</f>
        <v>A-322-2604</v>
      </c>
      <c r="D397" s="370" t="str">
        <f>VLOOKUP(Table2[[#This Row],[Course Title]],'TSD-Data'!$A$1:$E$70,3,FALSE)</f>
        <v>10ZZ</v>
      </c>
      <c r="E397" s="369" t="s">
        <v>86</v>
      </c>
      <c r="F397" s="371">
        <v>46216</v>
      </c>
      <c r="G397" s="371">
        <v>46218</v>
      </c>
      <c r="H397" s="371" t="s">
        <v>752</v>
      </c>
      <c r="I397" s="372"/>
      <c r="J397" s="372">
        <v>0.33333333333333331</v>
      </c>
      <c r="K397" s="372">
        <v>0.20833333333333334</v>
      </c>
      <c r="L397" s="372">
        <v>0.625</v>
      </c>
      <c r="M397" s="372">
        <v>0.54166666666666663</v>
      </c>
      <c r="N397" s="372">
        <v>8.3333333333333329E-2</v>
      </c>
      <c r="O397" s="372">
        <v>0.875</v>
      </c>
      <c r="P397" s="375" t="s">
        <v>248</v>
      </c>
      <c r="Q397" s="375"/>
      <c r="R397" s="376"/>
      <c r="S397" s="370">
        <f>VLOOKUP(Table2[[#This Row],[Course Title]],'TSD-Data'!$A$1:$E$70,4,FALSE)</f>
        <v>45</v>
      </c>
      <c r="T397" s="377">
        <f>VLOOKUP(Table2[[#This Row],[Course Title]],'TSD-Data'!$A$1:$F$70,6,FALSE)</f>
        <v>24</v>
      </c>
      <c r="U397" s="378">
        <f>VLOOKUP(Table2[[#This Row],[Course Title]],'TSD-Data'!$A$1:$F$70,5,FALSE)</f>
        <v>3</v>
      </c>
      <c r="V397" s="379">
        <v>316</v>
      </c>
      <c r="W397" s="377"/>
      <c r="X397" s="377"/>
      <c r="Y397" s="378"/>
      <c r="Z397" s="378"/>
      <c r="AA397" s="370"/>
      <c r="AB397" s="370"/>
      <c r="AC397" s="370"/>
      <c r="AD397" s="370"/>
      <c r="AE397" s="378">
        <f ca="1">Table2[[#This Row],[End Date]]+2-TODAY()</f>
        <v>402</v>
      </c>
      <c r="AF397" s="370">
        <f>IF(ISBLANK(Table2[[#This Row],[Roster Received by]]),1,0)</f>
        <v>1</v>
      </c>
      <c r="AG397" s="377">
        <f ca="1">IF(Table2[[#This Row],[Start Date]]&gt;TODAY(),1,)</f>
        <v>1</v>
      </c>
      <c r="AH397" s="377">
        <f>IF(ISBLANK(Table2[[#This Row],[Primary Instructor]]),0,1)</f>
        <v>1</v>
      </c>
      <c r="AI397" s="377">
        <f>IF(ISBLANK(Table2[[#This Row],[Instructor 2]]),0,1)</f>
        <v>0</v>
      </c>
      <c r="AJ397" s="377">
        <f>Table2[[#This Row],[Course Length (Hours)]]/(SUM(Table2[[#This Row],[1]:[2]]))</f>
        <v>24</v>
      </c>
      <c r="AK397" s="370"/>
      <c r="AL397" s="400">
        <v>4</v>
      </c>
      <c r="AM397" s="403" t="str">
        <f>VLOOKUP(Table2[[#This Row],[Course Title]],'TSD-Data'!$A$1:$G$70,7,FALSE)</f>
        <v>N3</v>
      </c>
    </row>
    <row r="398" spans="1:39" s="380" customFormat="1" x14ac:dyDescent="0.25">
      <c r="A398" s="368"/>
      <c r="B398" s="369" t="s">
        <v>61</v>
      </c>
      <c r="C398" s="370" t="str">
        <f>VLOOKUP(Table2[[#This Row],[Course Title]],'TSD-Data'!$A$1:$E$70,2,FALSE)</f>
        <v>A-493-0078</v>
      </c>
      <c r="D398" s="370">
        <f>VLOOKUP(Table2[[#This Row],[Course Title]],'TSD-Data'!$A$1:$E$70,3,FALSE)</f>
        <v>1228</v>
      </c>
      <c r="E398" s="369" t="s">
        <v>86</v>
      </c>
      <c r="F398" s="371">
        <v>46216</v>
      </c>
      <c r="G398" s="371">
        <v>46219</v>
      </c>
      <c r="H398" s="371" t="s">
        <v>752</v>
      </c>
      <c r="I398" s="372"/>
      <c r="J398" s="372">
        <v>0.5</v>
      </c>
      <c r="K398" s="381">
        <v>0.375</v>
      </c>
      <c r="L398" s="381">
        <v>0.79166666666666663</v>
      </c>
      <c r="M398" s="381">
        <v>0.75</v>
      </c>
      <c r="N398" s="381">
        <v>0.25</v>
      </c>
      <c r="O398" s="381">
        <v>4.1666666666666664E-2</v>
      </c>
      <c r="P398" s="375" t="s">
        <v>256</v>
      </c>
      <c r="Q398" s="375"/>
      <c r="R398" s="376"/>
      <c r="S398" s="370">
        <f>VLOOKUP(Table2[[#This Row],[Course Title]],'TSD-Data'!$A$1:$E$70,4,FALSE)</f>
        <v>45</v>
      </c>
      <c r="T398" s="377">
        <f>VLOOKUP(Table2[[#This Row],[Course Title]],'TSD-Data'!$A$1:$F$70,6,FALSE)</f>
        <v>32</v>
      </c>
      <c r="U398" s="378">
        <f>VLOOKUP(Table2[[#This Row],[Course Title]],'TSD-Data'!$A$1:$F$70,5,FALSE)</f>
        <v>4</v>
      </c>
      <c r="V398" s="379">
        <v>568</v>
      </c>
      <c r="W398" s="377"/>
      <c r="X398" s="377"/>
      <c r="Y398" s="378"/>
      <c r="Z398" s="378"/>
      <c r="AA398" s="370"/>
      <c r="AB398" s="370"/>
      <c r="AC398" s="370"/>
      <c r="AD398" s="370"/>
      <c r="AE398" s="378">
        <f ca="1">Table2[[#This Row],[End Date]]+2-TODAY()</f>
        <v>403</v>
      </c>
      <c r="AF398" s="370">
        <f>IF(ISBLANK(Table2[[#This Row],[Roster Received by]]),1,0)</f>
        <v>1</v>
      </c>
      <c r="AG398" s="377">
        <f ca="1">IF(Table2[[#This Row],[Start Date]]&gt;TODAY(),1,)</f>
        <v>1</v>
      </c>
      <c r="AH398" s="377">
        <f>IF(ISBLANK(Table2[[#This Row],[Primary Instructor]]),0,1)</f>
        <v>1</v>
      </c>
      <c r="AI398" s="377">
        <f>IF(ISBLANK(Table2[[#This Row],[Instructor 2]]),0,1)</f>
        <v>0</v>
      </c>
      <c r="AJ398" s="377">
        <f>Table2[[#This Row],[Course Length (Hours)]]/(SUM(Table2[[#This Row],[1]:[2]]))</f>
        <v>32</v>
      </c>
      <c r="AK398" s="370"/>
      <c r="AL398" s="400">
        <v>4</v>
      </c>
      <c r="AM398" s="403" t="str">
        <f>VLOOKUP(Table2[[#This Row],[Course Title]],'TSD-Data'!$A$1:$G$70,7,FALSE)</f>
        <v>N5</v>
      </c>
    </row>
    <row r="399" spans="1:39" s="380" customFormat="1" x14ac:dyDescent="0.25">
      <c r="A399" s="368"/>
      <c r="B399" s="369" t="s">
        <v>40</v>
      </c>
      <c r="C399" s="370" t="str">
        <f>VLOOKUP(Table2[[#This Row],[Course Title]],'TSD-Data'!$A$1:$E$70,2,FALSE)</f>
        <v>A-493-2098</v>
      </c>
      <c r="D399" s="370" t="str">
        <f>VLOOKUP(Table2[[#This Row],[Course Title]],'TSD-Data'!$A$1:$E$70,3,FALSE)</f>
        <v>09WW</v>
      </c>
      <c r="E399" s="369" t="s">
        <v>86</v>
      </c>
      <c r="F399" s="371">
        <v>46216</v>
      </c>
      <c r="G399" s="371">
        <v>46218</v>
      </c>
      <c r="H399" s="371" t="s">
        <v>752</v>
      </c>
      <c r="I399" s="372"/>
      <c r="J399" s="372">
        <v>0.5</v>
      </c>
      <c r="K399" s="381">
        <v>0.375</v>
      </c>
      <c r="L399" s="381">
        <v>0.79166666666666663</v>
      </c>
      <c r="M399" s="381">
        <v>0.75</v>
      </c>
      <c r="N399" s="381">
        <v>0.25</v>
      </c>
      <c r="O399" s="381">
        <v>4.1666666666666664E-2</v>
      </c>
      <c r="P399" s="375" t="s">
        <v>244</v>
      </c>
      <c r="Q399" s="375"/>
      <c r="R399" s="376"/>
      <c r="S399" s="370">
        <f>VLOOKUP(Table2[[#This Row],[Course Title]],'TSD-Data'!$A$1:$E$70,4,FALSE)</f>
        <v>100</v>
      </c>
      <c r="T399" s="377">
        <f>VLOOKUP(Table2[[#This Row],[Course Title]],'TSD-Data'!$A$1:$F$70,6,FALSE)</f>
        <v>16</v>
      </c>
      <c r="U399" s="378">
        <f>VLOOKUP(Table2[[#This Row],[Course Title]],'TSD-Data'!$A$1:$F$70,5,FALSE)</f>
        <v>3</v>
      </c>
      <c r="V399" s="379">
        <v>1882</v>
      </c>
      <c r="W399" s="377"/>
      <c r="X399" s="377"/>
      <c r="Y399" s="378"/>
      <c r="Z399" s="378"/>
      <c r="AA399" s="370"/>
      <c r="AB399" s="370"/>
      <c r="AC399" s="370"/>
      <c r="AD399" s="370"/>
      <c r="AE399" s="378">
        <f ca="1">Table2[[#This Row],[End Date]]+2-TODAY()</f>
        <v>402</v>
      </c>
      <c r="AF399" s="370">
        <f>IF(ISBLANK(Table2[[#This Row],[Roster Received by]]),1,0)</f>
        <v>1</v>
      </c>
      <c r="AG399" s="377">
        <f ca="1">IF(Table2[[#This Row],[Start Date]]&gt;TODAY(),1,)</f>
        <v>1</v>
      </c>
      <c r="AH399" s="377">
        <f>IF(ISBLANK(Table2[[#This Row],[Primary Instructor]]),0,1)</f>
        <v>1</v>
      </c>
      <c r="AI399" s="377">
        <f>IF(ISBLANK(Table2[[#This Row],[Instructor 2]]),0,1)</f>
        <v>0</v>
      </c>
      <c r="AJ399" s="377">
        <f>Table2[[#This Row],[Course Length (Hours)]]/(SUM(Table2[[#This Row],[1]:[2]]))</f>
        <v>16</v>
      </c>
      <c r="AK399" s="370"/>
      <c r="AL399" s="400">
        <v>4</v>
      </c>
      <c r="AM399" s="403" t="str">
        <f>VLOOKUP(Table2[[#This Row],[Course Title]],'TSD-Data'!$A$1:$G$70,7,FALSE)</f>
        <v>N1</v>
      </c>
    </row>
    <row r="400" spans="1:39" s="380" customFormat="1" x14ac:dyDescent="0.25">
      <c r="A400" s="413" t="s">
        <v>751</v>
      </c>
      <c r="B400" s="414" t="s">
        <v>36</v>
      </c>
      <c r="C400" s="370" t="str">
        <f>VLOOKUP(Table2[[#This Row],[Course Title]],'TSD-Data'!$A$1:$E$70,2,FALSE)</f>
        <v>A-493-2017</v>
      </c>
      <c r="D400" s="370" t="str">
        <f>VLOOKUP(Table2[[#This Row],[Course Title]],'TSD-Data'!$A$1:$E$70,3,FALSE)</f>
        <v>12x3</v>
      </c>
      <c r="E400" s="414" t="s">
        <v>267</v>
      </c>
      <c r="F400" s="416">
        <v>46216</v>
      </c>
      <c r="G400" s="416">
        <v>46220</v>
      </c>
      <c r="H400" s="426" t="s">
        <v>753</v>
      </c>
      <c r="I400" s="417">
        <v>0.33333333333333331</v>
      </c>
      <c r="J400" s="417"/>
      <c r="K400" s="416"/>
      <c r="L400" s="416"/>
      <c r="M400" s="416"/>
      <c r="N400" s="416"/>
      <c r="O400" s="416"/>
      <c r="P400" s="418" t="s">
        <v>241</v>
      </c>
      <c r="Q400" s="418"/>
      <c r="R400" s="376"/>
      <c r="S400" s="370">
        <f>VLOOKUP(Table2[[#This Row],[Course Title]],'TSD-Data'!$A$1:$E$70,4,FALSE)</f>
        <v>25</v>
      </c>
      <c r="T400" s="377">
        <f>VLOOKUP(Table2[[#This Row],[Course Title]],'TSD-Data'!$A$1:$F$70,6,FALSE)</f>
        <v>40</v>
      </c>
      <c r="U400" s="378">
        <f>VLOOKUP(Table2[[#This Row],[Course Title]],'TSD-Data'!$A$1:$F$70,5,FALSE)</f>
        <v>5</v>
      </c>
      <c r="V400" s="379">
        <v>25</v>
      </c>
      <c r="W400" s="377"/>
      <c r="X400" s="377"/>
      <c r="Y400" s="420"/>
      <c r="Z400" s="420"/>
      <c r="AA400" s="415"/>
      <c r="AB400" s="415"/>
      <c r="AC400" s="421"/>
      <c r="AD400" s="421"/>
      <c r="AE400" s="420">
        <v>415</v>
      </c>
      <c r="AF400" s="415">
        <v>1</v>
      </c>
      <c r="AG400" s="403">
        <v>1</v>
      </c>
      <c r="AH400" s="403">
        <v>1</v>
      </c>
      <c r="AI400" s="403">
        <v>0</v>
      </c>
      <c r="AJ400" s="403">
        <v>40</v>
      </c>
      <c r="AK400" s="415"/>
      <c r="AL400" s="400">
        <v>4</v>
      </c>
      <c r="AM400" s="403" t="str">
        <f>VLOOKUP(Table2[[#This Row],[Course Title]],'TSD-Data'!$A$1:$G$70,7,FALSE)</f>
        <v>N4</v>
      </c>
    </row>
    <row r="401" spans="1:39" s="380" customFormat="1" x14ac:dyDescent="0.25">
      <c r="A401" s="413"/>
      <c r="B401" s="369" t="s">
        <v>29</v>
      </c>
      <c r="C401" s="370" t="str">
        <f>VLOOKUP(Table2[[#This Row],[Course Title]],'TSD-Data'!$A$1:$E$70,2,FALSE)</f>
        <v>A-493-0077</v>
      </c>
      <c r="D401" s="370" t="str">
        <f>VLOOKUP(Table2[[#This Row],[Course Title]],'TSD-Data'!$A$1:$E$70,3,FALSE)</f>
        <v>0381</v>
      </c>
      <c r="E401" s="414" t="s">
        <v>178</v>
      </c>
      <c r="F401" s="416">
        <v>46218</v>
      </c>
      <c r="G401" s="416">
        <v>46220</v>
      </c>
      <c r="H401" s="426" t="s">
        <v>753</v>
      </c>
      <c r="I401" s="417">
        <v>0.33333333333333331</v>
      </c>
      <c r="J401" s="417"/>
      <c r="K401" s="416"/>
      <c r="L401" s="416"/>
      <c r="M401" s="416"/>
      <c r="N401" s="416"/>
      <c r="O401" s="416"/>
      <c r="P401" s="418" t="s">
        <v>241</v>
      </c>
      <c r="Q401" s="418"/>
      <c r="R401" s="376"/>
      <c r="S401" s="370">
        <f>VLOOKUP(Table2[[#This Row],[Course Title]],'TSD-Data'!$A$1:$E$70,4,FALSE)</f>
        <v>25</v>
      </c>
      <c r="T401" s="377">
        <f>VLOOKUP(Table2[[#This Row],[Course Title]],'TSD-Data'!$A$1:$F$70,6,FALSE)</f>
        <v>24</v>
      </c>
      <c r="U401" s="378">
        <f>VLOOKUP(Table2[[#This Row],[Course Title]],'TSD-Data'!$A$1:$F$70,5,FALSE)</f>
        <v>3</v>
      </c>
      <c r="V401" s="379">
        <v>11</v>
      </c>
      <c r="W401" s="377"/>
      <c r="X401" s="377"/>
      <c r="Y401" s="420"/>
      <c r="Z401" s="420"/>
      <c r="AA401" s="415"/>
      <c r="AB401" s="415"/>
      <c r="AC401" s="421"/>
      <c r="AD401" s="421"/>
      <c r="AE401" s="420">
        <v>415</v>
      </c>
      <c r="AF401" s="415">
        <v>1</v>
      </c>
      <c r="AG401" s="403">
        <v>1</v>
      </c>
      <c r="AH401" s="403">
        <v>1</v>
      </c>
      <c r="AI401" s="403">
        <v>0</v>
      </c>
      <c r="AJ401" s="403">
        <v>24</v>
      </c>
      <c r="AK401" s="415"/>
      <c r="AL401" s="400">
        <v>4</v>
      </c>
      <c r="AM401" s="403" t="str">
        <f>VLOOKUP(Table2[[#This Row],[Course Title]],'TSD-Data'!$A$1:$G$70,7,FALSE)</f>
        <v>N4</v>
      </c>
    </row>
    <row r="402" spans="1:39" s="380" customFormat="1" x14ac:dyDescent="0.25">
      <c r="A402" s="368"/>
      <c r="B402" s="432" t="s">
        <v>55</v>
      </c>
      <c r="C402" s="370" t="str">
        <f>VLOOKUP(Table2[[#This Row],[Course Title]],'TSD-Data'!$A$1:$E$70,2,FALSE)</f>
        <v>A-493-0103</v>
      </c>
      <c r="D402" s="370" t="str">
        <f>VLOOKUP(Table2[[#This Row],[Course Title]],'TSD-Data'!$A$1:$E$70,3,FALSE)</f>
        <v>12JY</v>
      </c>
      <c r="E402" s="369" t="s">
        <v>166</v>
      </c>
      <c r="F402" s="371">
        <v>46223</v>
      </c>
      <c r="G402" s="371">
        <v>46227</v>
      </c>
      <c r="H402" s="371" t="s">
        <v>752</v>
      </c>
      <c r="I402" s="372">
        <v>0.33333333333333331</v>
      </c>
      <c r="J402" s="372"/>
      <c r="K402" s="371"/>
      <c r="L402" s="371"/>
      <c r="M402" s="371"/>
      <c r="N402" s="371"/>
      <c r="O402" s="371"/>
      <c r="P402" s="375" t="s">
        <v>289</v>
      </c>
      <c r="Q402" s="375"/>
      <c r="R402" s="376"/>
      <c r="S402" s="370">
        <f>VLOOKUP(Table2[[#This Row],[Course Title]],'TSD-Data'!$A$1:$E$70,4,FALSE)</f>
        <v>25</v>
      </c>
      <c r="T402" s="377">
        <f>VLOOKUP(Table2[[#This Row],[Course Title]],'TSD-Data'!$A$1:$F$70,6,FALSE)</f>
        <v>40</v>
      </c>
      <c r="U402" s="378">
        <f>VLOOKUP(Table2[[#This Row],[Course Title]],'TSD-Data'!$A$1:$F$70,5,FALSE)</f>
        <v>5</v>
      </c>
      <c r="V402" s="379">
        <v>67</v>
      </c>
      <c r="W402" s="377"/>
      <c r="X402" s="377"/>
      <c r="Y402" s="378"/>
      <c r="Z402" s="378"/>
      <c r="AA402" s="370"/>
      <c r="AB402" s="370"/>
      <c r="AC402" s="370"/>
      <c r="AD402" s="370"/>
      <c r="AE402" s="378">
        <f ca="1">Table2[[#This Row],[End Date]]+2-TODAY()</f>
        <v>411</v>
      </c>
      <c r="AF402" s="370">
        <f>IF(ISBLANK(Table2[[#This Row],[Roster Received by]]),1,0)</f>
        <v>1</v>
      </c>
      <c r="AG402" s="377">
        <f ca="1">IF(Table2[[#This Row],[Start Date]]&gt;TODAY(),1,)</f>
        <v>1</v>
      </c>
      <c r="AH402" s="377">
        <f>IF(ISBLANK(Table2[[#This Row],[Primary Instructor]]),0,1)</f>
        <v>1</v>
      </c>
      <c r="AI402" s="377">
        <f>IF(ISBLANK(Table2[[#This Row],[Instructor 2]]),0,1)</f>
        <v>0</v>
      </c>
      <c r="AJ402" s="377">
        <f>Table2[[#This Row],[Course Length (Hours)]]/(SUM(Table2[[#This Row],[1]:[2]]))</f>
        <v>40</v>
      </c>
      <c r="AK402" s="370"/>
      <c r="AL402" s="400">
        <v>4</v>
      </c>
      <c r="AM402" s="403" t="str">
        <f>VLOOKUP(Table2[[#This Row],[Course Title]],'TSD-Data'!$A$1:$G$70,7,FALSE)</f>
        <v>N5</v>
      </c>
    </row>
    <row r="403" spans="1:39" s="380" customFormat="1" x14ac:dyDescent="0.25">
      <c r="A403" s="368"/>
      <c r="B403" s="432" t="s">
        <v>55</v>
      </c>
      <c r="C403" s="370" t="str">
        <f>VLOOKUP(Table2[[#This Row],[Course Title]],'TSD-Data'!$A$1:$E$70,2,FALSE)</f>
        <v>A-493-0103</v>
      </c>
      <c r="D403" s="370" t="str">
        <f>VLOOKUP(Table2[[#This Row],[Course Title]],'TSD-Data'!$A$1:$E$70,3,FALSE)</f>
        <v>12JY</v>
      </c>
      <c r="E403" s="369" t="s">
        <v>178</v>
      </c>
      <c r="F403" s="371">
        <v>46223</v>
      </c>
      <c r="G403" s="371">
        <v>46227</v>
      </c>
      <c r="H403" s="371" t="s">
        <v>752</v>
      </c>
      <c r="I403" s="372">
        <v>0.33333333333333331</v>
      </c>
      <c r="J403" s="372"/>
      <c r="K403" s="371"/>
      <c r="L403" s="371"/>
      <c r="M403" s="371"/>
      <c r="N403" s="371"/>
      <c r="O403" s="371"/>
      <c r="P403" s="375" t="s">
        <v>289</v>
      </c>
      <c r="Q403" s="375"/>
      <c r="R403" s="376"/>
      <c r="S403" s="370">
        <f>VLOOKUP(Table2[[#This Row],[Course Title]],'TSD-Data'!$A$1:$E$70,4,FALSE)</f>
        <v>25</v>
      </c>
      <c r="T403" s="377">
        <f>VLOOKUP(Table2[[#This Row],[Course Title]],'TSD-Data'!$A$1:$F$70,6,FALSE)</f>
        <v>40</v>
      </c>
      <c r="U403" s="378">
        <f>VLOOKUP(Table2[[#This Row],[Course Title]],'TSD-Data'!$A$1:$F$70,5,FALSE)</f>
        <v>5</v>
      </c>
      <c r="V403" s="379">
        <v>55</v>
      </c>
      <c r="W403" s="377"/>
      <c r="X403" s="377"/>
      <c r="Y403" s="378"/>
      <c r="Z403" s="378"/>
      <c r="AA403" s="370"/>
      <c r="AB403" s="370"/>
      <c r="AC403" s="370"/>
      <c r="AD403" s="370"/>
      <c r="AE403" s="378">
        <f ca="1">Table2[[#This Row],[End Date]]+2-TODAY()</f>
        <v>411</v>
      </c>
      <c r="AF403" s="370">
        <f>IF(ISBLANK(Table2[[#This Row],[Roster Received by]]),1,0)</f>
        <v>1</v>
      </c>
      <c r="AG403" s="377">
        <f ca="1">IF(Table2[[#This Row],[Start Date]]&gt;TODAY(),1,)</f>
        <v>1</v>
      </c>
      <c r="AH403" s="377">
        <f>IF(ISBLANK(Table2[[#This Row],[Primary Instructor]]),0,1)</f>
        <v>1</v>
      </c>
      <c r="AI403" s="377">
        <f>IF(ISBLANK(Table2[[#This Row],[Instructor 2]]),0,1)</f>
        <v>0</v>
      </c>
      <c r="AJ403" s="377">
        <f>Table2[[#This Row],[Course Length (Hours)]]/(SUM(Table2[[#This Row],[1]:[2]]))</f>
        <v>40</v>
      </c>
      <c r="AK403" s="370"/>
      <c r="AL403" s="400">
        <v>4</v>
      </c>
      <c r="AM403" s="403" t="str">
        <f>VLOOKUP(Table2[[#This Row],[Course Title]],'TSD-Data'!$A$1:$G$70,7,FALSE)</f>
        <v>N5</v>
      </c>
    </row>
    <row r="404" spans="1:39" s="380" customFormat="1" x14ac:dyDescent="0.25">
      <c r="A404" s="368"/>
      <c r="B404" s="369" t="s">
        <v>56</v>
      </c>
      <c r="C404" s="370" t="str">
        <f>VLOOKUP(Table2[[#This Row],[Course Title]],'TSD-Data'!$A$1:$E$70,2,FALSE)</f>
        <v>A-493-0021</v>
      </c>
      <c r="D404" s="370" t="str">
        <f>VLOOKUP(Table2[[#This Row],[Course Title]],'TSD-Data'!$A$1:$E$70,3,FALSE)</f>
        <v>18BN</v>
      </c>
      <c r="E404" s="369" t="s">
        <v>176</v>
      </c>
      <c r="F404" s="371">
        <v>46223</v>
      </c>
      <c r="G404" s="371">
        <v>46227</v>
      </c>
      <c r="H404" s="371" t="s">
        <v>752</v>
      </c>
      <c r="I404" s="372">
        <v>0.33333333333333331</v>
      </c>
      <c r="J404" s="372"/>
      <c r="K404" s="437"/>
      <c r="L404" s="371"/>
      <c r="M404" s="371"/>
      <c r="N404" s="371"/>
      <c r="O404" s="371"/>
      <c r="P404" s="375" t="s">
        <v>289</v>
      </c>
      <c r="Q404" s="375"/>
      <c r="R404" s="376"/>
      <c r="S404" s="370">
        <f>VLOOKUP(Table2[[#This Row],[Course Title]],'TSD-Data'!$A$1:$E$70,4,FALSE)</f>
        <v>35</v>
      </c>
      <c r="T404" s="377">
        <f>VLOOKUP(Table2[[#This Row],[Course Title]],'TSD-Data'!$A$1:$F$70,6,FALSE)</f>
        <v>30</v>
      </c>
      <c r="U404" s="378">
        <f>VLOOKUP(Table2[[#This Row],[Course Title]],'TSD-Data'!$A$1:$F$70,5,FALSE)</f>
        <v>5</v>
      </c>
      <c r="V404" s="379">
        <v>11</v>
      </c>
      <c r="W404" s="377"/>
      <c r="X404" s="377"/>
      <c r="Y404" s="378"/>
      <c r="Z404" s="378"/>
      <c r="AA404" s="370"/>
      <c r="AB404" s="370"/>
      <c r="AC404" s="370"/>
      <c r="AD404" s="370"/>
      <c r="AE404" s="378">
        <f ca="1">Table2[[#This Row],[End Date]]+2-TODAY()</f>
        <v>411</v>
      </c>
      <c r="AF404" s="370">
        <f>IF(ISBLANK(Table2[[#This Row],[Roster Received by]]),1,0)</f>
        <v>1</v>
      </c>
      <c r="AG404" s="377">
        <f ca="1">IF(Table2[[#This Row],[Start Date]]&gt;TODAY(),1,)</f>
        <v>1</v>
      </c>
      <c r="AH404" s="377">
        <f>IF(ISBLANK(Table2[[#This Row],[Primary Instructor]]),0,1)</f>
        <v>1</v>
      </c>
      <c r="AI404" s="377">
        <f>IF(ISBLANK(Table2[[#This Row],[Instructor 2]]),0,1)</f>
        <v>0</v>
      </c>
      <c r="AJ404" s="377">
        <f>Table2[[#This Row],[Course Length (Hours)]]/(SUM(Table2[[#This Row],[1]:[2]]))</f>
        <v>30</v>
      </c>
      <c r="AK404" s="370"/>
      <c r="AL404" s="400">
        <v>4</v>
      </c>
      <c r="AM404" s="403" t="str">
        <f>VLOOKUP(Table2[[#This Row],[Course Title]],'TSD-Data'!$A$1:$G$70,7,FALSE)</f>
        <v>N5</v>
      </c>
    </row>
    <row r="405" spans="1:39" s="380" customFormat="1" x14ac:dyDescent="0.25">
      <c r="A405" s="425" t="s">
        <v>505</v>
      </c>
      <c r="B405" s="401" t="s">
        <v>17</v>
      </c>
      <c r="C405" s="370" t="str">
        <f>VLOOKUP(Table2[[#This Row],[Course Title]],'TSD-Data'!$A$1:$E$70,2,FALSE)</f>
        <v>A-493-0012</v>
      </c>
      <c r="D405" s="370">
        <f>VLOOKUP(Table2[[#This Row],[Course Title]],'TSD-Data'!$A$1:$E$70,3,FALSE)</f>
        <v>3682</v>
      </c>
      <c r="E405" s="401" t="s">
        <v>401</v>
      </c>
      <c r="F405" s="426">
        <v>46223</v>
      </c>
      <c r="G405" s="426">
        <v>46227</v>
      </c>
      <c r="H405" s="426" t="s">
        <v>753</v>
      </c>
      <c r="I405" s="372">
        <v>0.33333333333333331</v>
      </c>
      <c r="J405" s="372"/>
      <c r="K405" s="371"/>
      <c r="L405" s="371"/>
      <c r="M405" s="371"/>
      <c r="N405" s="371"/>
      <c r="O405" s="371"/>
      <c r="P405" s="375" t="s">
        <v>241</v>
      </c>
      <c r="Q405" s="375"/>
      <c r="R405" s="376"/>
      <c r="S405" s="370">
        <f>VLOOKUP(Table2[[#This Row],[Course Title]],'TSD-Data'!$A$1:$E$70,4,FALSE)</f>
        <v>40</v>
      </c>
      <c r="T405" s="377">
        <f>VLOOKUP(Table2[[#This Row],[Course Title]],'TSD-Data'!$A$1:$F$70,6,FALSE)</f>
        <v>40</v>
      </c>
      <c r="U405" s="378">
        <f>VLOOKUP(Table2[[#This Row],[Course Title]],'TSD-Data'!$A$1:$F$70,5,FALSE)</f>
        <v>5</v>
      </c>
      <c r="V405" s="377">
        <v>10</v>
      </c>
      <c r="W405" s="377"/>
      <c r="X405" s="377"/>
      <c r="Y405" s="378"/>
      <c r="Z405" s="378"/>
      <c r="AA405" s="370"/>
      <c r="AB405" s="370"/>
      <c r="AC405" s="370"/>
      <c r="AD405" s="370"/>
      <c r="AE405" s="378" t="e">
        <v>#REF!</v>
      </c>
      <c r="AF405" s="370">
        <v>0</v>
      </c>
      <c r="AG405" s="377" t="e">
        <v>#REF!</v>
      </c>
      <c r="AH405" s="377">
        <v>1</v>
      </c>
      <c r="AI405" s="377">
        <v>1</v>
      </c>
      <c r="AJ405" s="377" t="e">
        <v>#VALUE!</v>
      </c>
      <c r="AK405" s="370"/>
      <c r="AL405" s="400">
        <v>4</v>
      </c>
      <c r="AM405" s="403" t="str">
        <f>VLOOKUP(Table2[[#This Row],[Course Title]],'TSD-Data'!$A$1:$G$70,7,FALSE)</f>
        <v>N4</v>
      </c>
    </row>
    <row r="406" spans="1:39" s="380" customFormat="1" x14ac:dyDescent="0.25">
      <c r="A406" s="413" t="s">
        <v>739</v>
      </c>
      <c r="B406" s="414" t="s">
        <v>28</v>
      </c>
      <c r="C406" s="370" t="str">
        <f>VLOOKUP(Table2[[#This Row],[Course Title]],'TSD-Data'!$A$1:$E$70,2,FALSE)</f>
        <v>A-493-0013</v>
      </c>
      <c r="D406" s="370">
        <f>VLOOKUP(Table2[[#This Row],[Course Title]],'TSD-Data'!$A$1:$E$70,3,FALSE)</f>
        <v>3683</v>
      </c>
      <c r="E406" s="414" t="s">
        <v>178</v>
      </c>
      <c r="F406" s="416">
        <v>46223</v>
      </c>
      <c r="G406" s="416">
        <v>46225</v>
      </c>
      <c r="H406" s="426" t="s">
        <v>753</v>
      </c>
      <c r="I406" s="417">
        <v>0.33333333333333331</v>
      </c>
      <c r="J406" s="417"/>
      <c r="K406" s="416"/>
      <c r="L406" s="416"/>
      <c r="M406" s="416"/>
      <c r="N406" s="416"/>
      <c r="O406" s="416"/>
      <c r="P406" s="418" t="s">
        <v>241</v>
      </c>
      <c r="Q406" s="418"/>
      <c r="R406" s="376"/>
      <c r="S406" s="370">
        <f>VLOOKUP(Table2[[#This Row],[Course Title]],'TSD-Data'!$A$1:$E$70,4,FALSE)</f>
        <v>40</v>
      </c>
      <c r="T406" s="377">
        <f>VLOOKUP(Table2[[#This Row],[Course Title]],'TSD-Data'!$A$1:$F$70,6,FALSE)</f>
        <v>24</v>
      </c>
      <c r="U406" s="378">
        <f>VLOOKUP(Table2[[#This Row],[Course Title]],'TSD-Data'!$A$1:$F$70,5,FALSE)</f>
        <v>3</v>
      </c>
      <c r="V406" s="379">
        <v>29</v>
      </c>
      <c r="W406" s="377"/>
      <c r="X406" s="377"/>
      <c r="Y406" s="420"/>
      <c r="Z406" s="420"/>
      <c r="AA406" s="415"/>
      <c r="AB406" s="415"/>
      <c r="AC406" s="421"/>
      <c r="AD406" s="421"/>
      <c r="AE406" s="420">
        <v>420</v>
      </c>
      <c r="AF406" s="415">
        <v>1</v>
      </c>
      <c r="AG406" s="403">
        <v>1</v>
      </c>
      <c r="AH406" s="403">
        <v>1</v>
      </c>
      <c r="AI406" s="403">
        <v>0</v>
      </c>
      <c r="AJ406" s="403">
        <v>24</v>
      </c>
      <c r="AK406" s="415"/>
      <c r="AL406" s="400">
        <v>4</v>
      </c>
      <c r="AM406" s="403" t="str">
        <f>VLOOKUP(Table2[[#This Row],[Course Title]],'TSD-Data'!$A$1:$G$70,7,FALSE)</f>
        <v>N4</v>
      </c>
    </row>
    <row r="407" spans="1:39" s="380" customFormat="1" x14ac:dyDescent="0.25">
      <c r="A407" s="413"/>
      <c r="B407" s="369" t="s">
        <v>31</v>
      </c>
      <c r="C407" s="370" t="str">
        <f>VLOOKUP(Table2[[#This Row],[Course Title]],'TSD-Data'!$A$1:$E$70,2,FALSE)</f>
        <v>A-493-0083</v>
      </c>
      <c r="D407" s="370" t="str">
        <f>VLOOKUP(Table2[[#This Row],[Course Title]],'TSD-Data'!$A$1:$E$70,3,FALSE)</f>
        <v>339E</v>
      </c>
      <c r="E407" s="414" t="s">
        <v>161</v>
      </c>
      <c r="F407" s="416">
        <v>46223</v>
      </c>
      <c r="G407" s="416">
        <v>46223</v>
      </c>
      <c r="H407" s="426" t="s">
        <v>753</v>
      </c>
      <c r="I407" s="417">
        <v>0.33333333333333331</v>
      </c>
      <c r="J407" s="417"/>
      <c r="K407" s="416"/>
      <c r="L407" s="416"/>
      <c r="M407" s="416"/>
      <c r="N407" s="416"/>
      <c r="O407" s="416"/>
      <c r="P407" s="418" t="s">
        <v>241</v>
      </c>
      <c r="Q407" s="418"/>
      <c r="R407" s="376"/>
      <c r="S407" s="370">
        <f>VLOOKUP(Table2[[#This Row],[Course Title]],'TSD-Data'!$A$1:$E$70,4,FALSE)</f>
        <v>30</v>
      </c>
      <c r="T407" s="377">
        <f>VLOOKUP(Table2[[#This Row],[Course Title]],'TSD-Data'!$A$1:$F$70,6,FALSE)</f>
        <v>8</v>
      </c>
      <c r="U407" s="378">
        <f>VLOOKUP(Table2[[#This Row],[Course Title]],'TSD-Data'!$A$1:$F$70,5,FALSE)</f>
        <v>1</v>
      </c>
      <c r="V407" s="379">
        <v>0</v>
      </c>
      <c r="W407" s="377"/>
      <c r="X407" s="377"/>
      <c r="Y407" s="420"/>
      <c r="Z407" s="420"/>
      <c r="AA407" s="415"/>
      <c r="AB407" s="415"/>
      <c r="AC407" s="421"/>
      <c r="AD407" s="421"/>
      <c r="AE407" s="420">
        <v>418</v>
      </c>
      <c r="AF407" s="415">
        <v>1</v>
      </c>
      <c r="AG407" s="403">
        <v>1</v>
      </c>
      <c r="AH407" s="403">
        <v>1</v>
      </c>
      <c r="AI407" s="403">
        <v>0</v>
      </c>
      <c r="AJ407" s="403">
        <v>8</v>
      </c>
      <c r="AK407" s="415"/>
      <c r="AL407" s="400">
        <v>4</v>
      </c>
      <c r="AM407" s="403" t="str">
        <f>VLOOKUP(Table2[[#This Row],[Course Title]],'TSD-Data'!$A$1:$G$70,7,FALSE)</f>
        <v>N4</v>
      </c>
    </row>
    <row r="408" spans="1:39" s="380" customFormat="1" x14ac:dyDescent="0.25">
      <c r="A408" s="368"/>
      <c r="B408" s="369" t="s">
        <v>53</v>
      </c>
      <c r="C408" s="370" t="str">
        <f>VLOOKUP(Table2[[#This Row],[Course Title]],'TSD-Data'!$A$1:$E$70,2,FALSE)</f>
        <v>A-493-0072</v>
      </c>
      <c r="D408" s="370" t="str">
        <f>VLOOKUP(Table2[[#This Row],[Course Title]],'TSD-Data'!$A$1:$E$70,3,FALSE)</f>
        <v>713U</v>
      </c>
      <c r="E408" s="369" t="s">
        <v>179</v>
      </c>
      <c r="F408" s="371">
        <v>46223</v>
      </c>
      <c r="G408" s="371">
        <v>46227</v>
      </c>
      <c r="H408" s="371" t="s">
        <v>752</v>
      </c>
      <c r="I408" s="372">
        <v>0.33333333333333331</v>
      </c>
      <c r="J408" s="372"/>
      <c r="K408" s="371"/>
      <c r="L408" s="371"/>
      <c r="M408" s="371"/>
      <c r="N408" s="371"/>
      <c r="O408" s="371"/>
      <c r="P408" s="375" t="s">
        <v>297</v>
      </c>
      <c r="Q408" s="375"/>
      <c r="R408" s="376" t="s">
        <v>252</v>
      </c>
      <c r="S408" s="370">
        <f>VLOOKUP(Table2[[#This Row],[Course Title]],'TSD-Data'!$A$1:$E$70,4,FALSE)</f>
        <v>30</v>
      </c>
      <c r="T408" s="377">
        <f>VLOOKUP(Table2[[#This Row],[Course Title]],'TSD-Data'!$A$1:$F$70,6,FALSE)</f>
        <v>40</v>
      </c>
      <c r="U408" s="378">
        <f>VLOOKUP(Table2[[#This Row],[Course Title]],'TSD-Data'!$A$1:$F$70,5,FALSE)</f>
        <v>5</v>
      </c>
      <c r="V408" s="379">
        <v>78</v>
      </c>
      <c r="W408" s="377"/>
      <c r="X408" s="377"/>
      <c r="Y408" s="378"/>
      <c r="Z408" s="378"/>
      <c r="AA408" s="370"/>
      <c r="AB408" s="370"/>
      <c r="AC408" s="370"/>
      <c r="AD408" s="370"/>
      <c r="AE408" s="378">
        <f ca="1">Table2[[#This Row],[End Date]]+2-TODAY()</f>
        <v>411</v>
      </c>
      <c r="AF408" s="370">
        <f>IF(ISBLANK(Table2[[#This Row],[Roster Received by]]),1,0)</f>
        <v>1</v>
      </c>
      <c r="AG408" s="377">
        <f ca="1">IF(Table2[[#This Row],[Start Date]]&gt;TODAY(),1,)</f>
        <v>1</v>
      </c>
      <c r="AH408" s="377">
        <f>IF(ISBLANK(Table2[[#This Row],[Primary Instructor]]),0,1)</f>
        <v>1</v>
      </c>
      <c r="AI408" s="377">
        <f>IF(ISBLANK(Table2[[#This Row],[Instructor 2]]),0,1)</f>
        <v>0</v>
      </c>
      <c r="AJ408" s="377">
        <f>Table2[[#This Row],[Course Length (Hours)]]/(SUM(Table2[[#This Row],[1]:[2]]))</f>
        <v>40</v>
      </c>
      <c r="AK408" s="370"/>
      <c r="AL408" s="400">
        <v>4</v>
      </c>
      <c r="AM408" s="403" t="str">
        <f>VLOOKUP(Table2[[#This Row],[Course Title]],'TSD-Data'!$A$1:$G$70,7,FALSE)</f>
        <v>N3</v>
      </c>
    </row>
    <row r="409" spans="1:39" s="380" customFormat="1" x14ac:dyDescent="0.25">
      <c r="A409" s="413" t="s">
        <v>740</v>
      </c>
      <c r="B409" s="414" t="s">
        <v>28</v>
      </c>
      <c r="C409" s="370" t="str">
        <f>VLOOKUP(Table2[[#This Row],[Course Title]],'TSD-Data'!$A$1:$E$70,2,FALSE)</f>
        <v>A-493-0013</v>
      </c>
      <c r="D409" s="370">
        <f>VLOOKUP(Table2[[#This Row],[Course Title]],'TSD-Data'!$A$1:$E$70,3,FALSE)</f>
        <v>3683</v>
      </c>
      <c r="E409" s="414" t="s">
        <v>364</v>
      </c>
      <c r="F409" s="416">
        <v>46224</v>
      </c>
      <c r="G409" s="416">
        <v>46226</v>
      </c>
      <c r="H409" s="426" t="s">
        <v>753</v>
      </c>
      <c r="I409" s="417">
        <v>0.33333333333333331</v>
      </c>
      <c r="J409" s="417"/>
      <c r="K409" s="416"/>
      <c r="L409" s="416"/>
      <c r="M409" s="416"/>
      <c r="N409" s="416"/>
      <c r="O409" s="416"/>
      <c r="P409" s="418" t="s">
        <v>241</v>
      </c>
      <c r="Q409" s="418"/>
      <c r="R409" s="376"/>
      <c r="S409" s="370">
        <f>VLOOKUP(Table2[[#This Row],[Course Title]],'TSD-Data'!$A$1:$E$70,4,FALSE)</f>
        <v>40</v>
      </c>
      <c r="T409" s="377">
        <f>VLOOKUP(Table2[[#This Row],[Course Title]],'TSD-Data'!$A$1:$F$70,6,FALSE)</f>
        <v>24</v>
      </c>
      <c r="U409" s="378">
        <f>VLOOKUP(Table2[[#This Row],[Course Title]],'TSD-Data'!$A$1:$F$70,5,FALSE)</f>
        <v>3</v>
      </c>
      <c r="V409" s="379">
        <v>32</v>
      </c>
      <c r="W409" s="377"/>
      <c r="X409" s="377"/>
      <c r="Y409" s="420"/>
      <c r="Z409" s="420"/>
      <c r="AA409" s="415"/>
      <c r="AB409" s="415"/>
      <c r="AC409" s="421"/>
      <c r="AD409" s="421"/>
      <c r="AE409" s="420">
        <v>421</v>
      </c>
      <c r="AF409" s="415">
        <v>1</v>
      </c>
      <c r="AG409" s="403">
        <v>1</v>
      </c>
      <c r="AH409" s="403">
        <v>1</v>
      </c>
      <c r="AI409" s="403">
        <v>0</v>
      </c>
      <c r="AJ409" s="403">
        <v>24</v>
      </c>
      <c r="AK409" s="415"/>
      <c r="AL409" s="400">
        <v>4</v>
      </c>
      <c r="AM409" s="403" t="str">
        <f>VLOOKUP(Table2[[#This Row],[Course Title]],'TSD-Data'!$A$1:$G$70,7,FALSE)</f>
        <v>N4</v>
      </c>
    </row>
    <row r="410" spans="1:39" s="380" customFormat="1" x14ac:dyDescent="0.25">
      <c r="A410" s="413"/>
      <c r="B410" s="369" t="s">
        <v>31</v>
      </c>
      <c r="C410" s="370" t="str">
        <f>VLOOKUP(Table2[[#This Row],[Course Title]],'TSD-Data'!$A$1:$E$70,2,FALSE)</f>
        <v>A-493-0083</v>
      </c>
      <c r="D410" s="370" t="str">
        <f>VLOOKUP(Table2[[#This Row],[Course Title]],'TSD-Data'!$A$1:$E$70,3,FALSE)</f>
        <v>339E</v>
      </c>
      <c r="E410" s="414" t="s">
        <v>161</v>
      </c>
      <c r="F410" s="416">
        <v>46224</v>
      </c>
      <c r="G410" s="416">
        <v>46224</v>
      </c>
      <c r="H410" s="426" t="s">
        <v>753</v>
      </c>
      <c r="I410" s="372">
        <v>0.33333333333333331</v>
      </c>
      <c r="J410" s="417"/>
      <c r="K410" s="416"/>
      <c r="L410" s="416"/>
      <c r="M410" s="416"/>
      <c r="N410" s="416"/>
      <c r="O410" s="416"/>
      <c r="P410" s="418" t="s">
        <v>241</v>
      </c>
      <c r="Q410" s="418"/>
      <c r="R410" s="376"/>
      <c r="S410" s="370">
        <f>VLOOKUP(Table2[[#This Row],[Course Title]],'TSD-Data'!$A$1:$E$70,4,FALSE)</f>
        <v>30</v>
      </c>
      <c r="T410" s="377">
        <f>VLOOKUP(Table2[[#This Row],[Course Title]],'TSD-Data'!$A$1:$F$70,6,FALSE)</f>
        <v>8</v>
      </c>
      <c r="U410" s="378">
        <f>VLOOKUP(Table2[[#This Row],[Course Title]],'TSD-Data'!$A$1:$F$70,5,FALSE)</f>
        <v>1</v>
      </c>
      <c r="V410" s="379">
        <v>0</v>
      </c>
      <c r="W410" s="377"/>
      <c r="X410" s="377"/>
      <c r="Y410" s="420"/>
      <c r="Z410" s="420"/>
      <c r="AA410" s="415"/>
      <c r="AB410" s="415"/>
      <c r="AC410" s="421"/>
      <c r="AD410" s="421"/>
      <c r="AE410" s="420">
        <v>419</v>
      </c>
      <c r="AF410" s="415">
        <v>1</v>
      </c>
      <c r="AG410" s="403">
        <v>1</v>
      </c>
      <c r="AH410" s="403">
        <v>0</v>
      </c>
      <c r="AI410" s="403">
        <v>0</v>
      </c>
      <c r="AJ410" s="403" t="e">
        <v>#DIV/0!</v>
      </c>
      <c r="AK410" s="415"/>
      <c r="AL410" s="400">
        <v>4</v>
      </c>
      <c r="AM410" s="403" t="str">
        <f>VLOOKUP(Table2[[#This Row],[Course Title]],'TSD-Data'!$A$1:$G$70,7,FALSE)</f>
        <v>N4</v>
      </c>
    </row>
    <row r="411" spans="1:39" s="380" customFormat="1" x14ac:dyDescent="0.25">
      <c r="A411" s="368"/>
      <c r="B411" s="435" t="s">
        <v>50</v>
      </c>
      <c r="C411" s="370" t="str">
        <f>VLOOKUP(Table2[[#This Row],[Course Title]],'TSD-Data'!$A$1:$E$70,2,FALSE)</f>
        <v>A-493-0331</v>
      </c>
      <c r="D411" s="370" t="str">
        <f>VLOOKUP(Table2[[#This Row],[Course Title]],'TSD-Data'!$A$1:$E$70,3,FALSE)</f>
        <v>10UG</v>
      </c>
      <c r="E411" s="369" t="s">
        <v>86</v>
      </c>
      <c r="F411" s="371">
        <v>46224</v>
      </c>
      <c r="G411" s="371">
        <v>46226</v>
      </c>
      <c r="H411" s="371" t="s">
        <v>752</v>
      </c>
      <c r="I411" s="372"/>
      <c r="J411" s="372">
        <v>0.79166666666666663</v>
      </c>
      <c r="K411" s="381">
        <v>0.66666666666666663</v>
      </c>
      <c r="L411" s="381">
        <v>8.3333333333333329E-2</v>
      </c>
      <c r="M411" s="381">
        <v>0</v>
      </c>
      <c r="N411" s="381">
        <v>0.54166666666666663</v>
      </c>
      <c r="O411" s="381">
        <v>0.33333333333333331</v>
      </c>
      <c r="P411" s="375" t="s">
        <v>233</v>
      </c>
      <c r="Q411" s="375"/>
      <c r="R411" s="376"/>
      <c r="S411" s="370">
        <f>VLOOKUP(Table2[[#This Row],[Course Title]],'TSD-Data'!$A$1:$E$70,4,FALSE)</f>
        <v>45</v>
      </c>
      <c r="T411" s="377">
        <f>VLOOKUP(Table2[[#This Row],[Course Title]],'TSD-Data'!$A$1:$F$70,6,FALSE)</f>
        <v>24</v>
      </c>
      <c r="U411" s="378">
        <f>VLOOKUP(Table2[[#This Row],[Course Title]],'TSD-Data'!$A$1:$F$70,5,FALSE)</f>
        <v>3</v>
      </c>
      <c r="V411" s="379">
        <v>183</v>
      </c>
      <c r="W411" s="377"/>
      <c r="X411" s="377"/>
      <c r="Y411" s="378"/>
      <c r="Z411" s="378"/>
      <c r="AA411" s="370"/>
      <c r="AB411" s="370"/>
      <c r="AC411" s="370"/>
      <c r="AD411" s="370"/>
      <c r="AE411" s="378">
        <f ca="1">Table2[[#This Row],[End Date]]+2-TODAY()</f>
        <v>410</v>
      </c>
      <c r="AF411" s="370">
        <f>IF(ISBLANK(Table2[[#This Row],[Roster Received by]]),1,0)</f>
        <v>1</v>
      </c>
      <c r="AG411" s="377">
        <f ca="1">IF(Table2[[#This Row],[Start Date]]&gt;TODAY(),1,)</f>
        <v>1</v>
      </c>
      <c r="AH411" s="377">
        <f>IF(ISBLANK(Table2[[#This Row],[Primary Instructor]]),0,1)</f>
        <v>1</v>
      </c>
      <c r="AI411" s="377">
        <f>IF(ISBLANK(Table2[[#This Row],[Instructor 2]]),0,1)</f>
        <v>0</v>
      </c>
      <c r="AJ411" s="377">
        <f>Table2[[#This Row],[Course Length (Hours)]]/(SUM(Table2[[#This Row],[1]:[2]]))</f>
        <v>24</v>
      </c>
      <c r="AK411" s="370"/>
      <c r="AL411" s="400">
        <v>4</v>
      </c>
      <c r="AM411" s="403" t="str">
        <f>VLOOKUP(Table2[[#This Row],[Course Title]],'TSD-Data'!$A$1:$G$70,7,FALSE)</f>
        <v>N3</v>
      </c>
    </row>
    <row r="412" spans="1:39" s="380" customFormat="1" x14ac:dyDescent="0.25">
      <c r="A412" s="413"/>
      <c r="B412" s="414" t="s">
        <v>35</v>
      </c>
      <c r="C412" s="370" t="str">
        <f>VLOOKUP(Table2[[#This Row],[Course Title]],'TSD-Data'!$A$1:$E$70,2,FALSE)</f>
        <v>A-493-2501</v>
      </c>
      <c r="D412" s="370" t="str">
        <f>VLOOKUP(Table2[[#This Row],[Course Title]],'TSD-Data'!$A$1:$E$70,3,FALSE)</f>
        <v>05ZE</v>
      </c>
      <c r="E412" s="414" t="s">
        <v>281</v>
      </c>
      <c r="F412" s="416">
        <v>46224</v>
      </c>
      <c r="G412" s="416">
        <v>46224</v>
      </c>
      <c r="H412" s="426" t="s">
        <v>753</v>
      </c>
      <c r="I412" s="417">
        <v>0.33333333333333331</v>
      </c>
      <c r="J412" s="417"/>
      <c r="K412" s="416"/>
      <c r="L412" s="416"/>
      <c r="M412" s="416"/>
      <c r="N412" s="416"/>
      <c r="O412" s="416"/>
      <c r="P412" s="418" t="s">
        <v>241</v>
      </c>
      <c r="Q412" s="418"/>
      <c r="R412" s="376"/>
      <c r="S412" s="370">
        <f>VLOOKUP(Table2[[#This Row],[Course Title]],'TSD-Data'!$A$1:$E$70,4,FALSE)</f>
        <v>30</v>
      </c>
      <c r="T412" s="377">
        <f>VLOOKUP(Table2[[#This Row],[Course Title]],'TSD-Data'!$A$1:$F$70,6,FALSE)</f>
        <v>8</v>
      </c>
      <c r="U412" s="378">
        <f>VLOOKUP(Table2[[#This Row],[Course Title]],'TSD-Data'!$A$1:$F$70,5,FALSE)</f>
        <v>1</v>
      </c>
      <c r="V412" s="379">
        <v>60</v>
      </c>
      <c r="W412" s="377"/>
      <c r="X412" s="377"/>
      <c r="Y412" s="420"/>
      <c r="Z412" s="420"/>
      <c r="AA412" s="415"/>
      <c r="AB412" s="415"/>
      <c r="AC412" s="421"/>
      <c r="AD412" s="421"/>
      <c r="AE412" s="420">
        <v>419</v>
      </c>
      <c r="AF412" s="415">
        <v>1</v>
      </c>
      <c r="AG412" s="403">
        <v>1</v>
      </c>
      <c r="AH412" s="403">
        <v>1</v>
      </c>
      <c r="AI412" s="403">
        <v>0</v>
      </c>
      <c r="AJ412" s="403">
        <v>8</v>
      </c>
      <c r="AK412" s="415"/>
      <c r="AL412" s="400">
        <v>4</v>
      </c>
      <c r="AM412" s="403" t="str">
        <f>VLOOKUP(Table2[[#This Row],[Course Title]],'TSD-Data'!$A$1:$G$70,7,FALSE)</f>
        <v>N4</v>
      </c>
    </row>
    <row r="413" spans="1:39" s="380" customFormat="1" x14ac:dyDescent="0.25">
      <c r="A413" s="368"/>
      <c r="B413" s="369" t="s">
        <v>57</v>
      </c>
      <c r="C413" s="370" t="str">
        <f>VLOOKUP(Table2[[#This Row],[Course Title]],'TSD-Data'!$A$1:$E$70,2,FALSE)</f>
        <v>A-493-0099</v>
      </c>
      <c r="D413" s="370" t="str">
        <f>VLOOKUP(Table2[[#This Row],[Course Title]],'TSD-Data'!$A$1:$E$70,3,FALSE)</f>
        <v>12JW</v>
      </c>
      <c r="E413" s="369" t="s">
        <v>86</v>
      </c>
      <c r="F413" s="371">
        <v>46225</v>
      </c>
      <c r="G413" s="371">
        <v>46227</v>
      </c>
      <c r="H413" s="371" t="s">
        <v>752</v>
      </c>
      <c r="I413" s="372"/>
      <c r="J413" s="372">
        <v>0.5</v>
      </c>
      <c r="K413" s="381">
        <v>0.375</v>
      </c>
      <c r="L413" s="381">
        <v>0.79166666666666663</v>
      </c>
      <c r="M413" s="381">
        <v>0.75</v>
      </c>
      <c r="N413" s="381">
        <v>0.25</v>
      </c>
      <c r="O413" s="381">
        <v>4.1666666666666664E-2</v>
      </c>
      <c r="P413" s="375" t="s">
        <v>277</v>
      </c>
      <c r="Q413" s="375"/>
      <c r="R413" s="376"/>
      <c r="S413" s="370">
        <f>VLOOKUP(Table2[[#This Row],[Course Title]],'TSD-Data'!$A$1:$E$70,4,FALSE)</f>
        <v>45</v>
      </c>
      <c r="T413" s="377">
        <f>VLOOKUP(Table2[[#This Row],[Course Title]],'TSD-Data'!$A$1:$F$70,6,FALSE)</f>
        <v>24</v>
      </c>
      <c r="U413" s="378">
        <f>VLOOKUP(Table2[[#This Row],[Course Title]],'TSD-Data'!$A$1:$F$70,5,FALSE)</f>
        <v>3</v>
      </c>
      <c r="V413" s="379">
        <v>1041</v>
      </c>
      <c r="W413" s="377"/>
      <c r="X413" s="377"/>
      <c r="Y413" s="378"/>
      <c r="Z413" s="378"/>
      <c r="AA413" s="370"/>
      <c r="AB413" s="370"/>
      <c r="AC413" s="370"/>
      <c r="AD413" s="370"/>
      <c r="AE413" s="378">
        <f ca="1">Table2[[#This Row],[End Date]]+2-TODAY()</f>
        <v>411</v>
      </c>
      <c r="AF413" s="370">
        <f>IF(ISBLANK(Table2[[#This Row],[Roster Received by]]),1,0)</f>
        <v>1</v>
      </c>
      <c r="AG413" s="377">
        <f ca="1">IF(Table2[[#This Row],[Start Date]]&gt;TODAY(),1,)</f>
        <v>1</v>
      </c>
      <c r="AH413" s="377">
        <f>IF(ISBLANK(Table2[[#This Row],[Primary Instructor]]),0,1)</f>
        <v>1</v>
      </c>
      <c r="AI413" s="377">
        <f>IF(ISBLANK(Table2[[#This Row],[Instructor 2]]),0,1)</f>
        <v>0</v>
      </c>
      <c r="AJ413" s="377">
        <f>Table2[[#This Row],[Course Length (Hours)]]/(SUM(Table2[[#This Row],[1]:[2]]))</f>
        <v>24</v>
      </c>
      <c r="AK413" s="370"/>
      <c r="AL413" s="400">
        <v>4</v>
      </c>
      <c r="AM413" s="403" t="str">
        <f>VLOOKUP(Table2[[#This Row],[Course Title]],'TSD-Data'!$A$1:$G$70,7,FALSE)</f>
        <v>N5</v>
      </c>
    </row>
    <row r="414" spans="1:39" s="380" customFormat="1" x14ac:dyDescent="0.25">
      <c r="A414" s="368"/>
      <c r="B414" s="432" t="s">
        <v>55</v>
      </c>
      <c r="C414" s="370" t="str">
        <f>VLOOKUP(Table2[[#This Row],[Course Title]],'TSD-Data'!$A$1:$E$70,2,FALSE)</f>
        <v>A-493-0103</v>
      </c>
      <c r="D414" s="370" t="str">
        <f>VLOOKUP(Table2[[#This Row],[Course Title]],'TSD-Data'!$A$1:$E$70,3,FALSE)</f>
        <v>12JY</v>
      </c>
      <c r="E414" s="369" t="s">
        <v>166</v>
      </c>
      <c r="F414" s="371">
        <v>46230</v>
      </c>
      <c r="G414" s="371">
        <v>46234</v>
      </c>
      <c r="H414" s="371" t="s">
        <v>752</v>
      </c>
      <c r="I414" s="372">
        <v>0.33333333333333331</v>
      </c>
      <c r="J414" s="372"/>
      <c r="K414" s="371"/>
      <c r="L414" s="371"/>
      <c r="M414" s="371"/>
      <c r="N414" s="371"/>
      <c r="O414" s="371"/>
      <c r="P414" s="375" t="s">
        <v>289</v>
      </c>
      <c r="Q414" s="375"/>
      <c r="R414" s="376"/>
      <c r="S414" s="370">
        <f>VLOOKUP(Table2[[#This Row],[Course Title]],'TSD-Data'!$A$1:$E$70,4,FALSE)</f>
        <v>25</v>
      </c>
      <c r="T414" s="377">
        <f>VLOOKUP(Table2[[#This Row],[Course Title]],'TSD-Data'!$A$1:$F$70,6,FALSE)</f>
        <v>40</v>
      </c>
      <c r="U414" s="378">
        <f>VLOOKUP(Table2[[#This Row],[Course Title]],'TSD-Data'!$A$1:$F$70,5,FALSE)</f>
        <v>5</v>
      </c>
      <c r="V414" s="379">
        <v>67</v>
      </c>
      <c r="W414" s="377"/>
      <c r="X414" s="377"/>
      <c r="Y414" s="378"/>
      <c r="Z414" s="378"/>
      <c r="AA414" s="370"/>
      <c r="AB414" s="370"/>
      <c r="AC414" s="370"/>
      <c r="AD414" s="370"/>
      <c r="AE414" s="378">
        <f ca="1">Table2[[#This Row],[End Date]]+2-TODAY()</f>
        <v>418</v>
      </c>
      <c r="AF414" s="370">
        <f>IF(ISBLANK(Table2[[#This Row],[Roster Received by]]),1,0)</f>
        <v>1</v>
      </c>
      <c r="AG414" s="377">
        <f ca="1">IF(Table2[[#This Row],[Start Date]]&gt;TODAY(),1,)</f>
        <v>1</v>
      </c>
      <c r="AH414" s="377">
        <f>IF(ISBLANK(Table2[[#This Row],[Primary Instructor]]),0,1)</f>
        <v>1</v>
      </c>
      <c r="AI414" s="377">
        <f>IF(ISBLANK(Table2[[#This Row],[Instructor 2]]),0,1)</f>
        <v>0</v>
      </c>
      <c r="AJ414" s="377">
        <f>Table2[[#This Row],[Course Length (Hours)]]/(SUM(Table2[[#This Row],[1]:[2]]))</f>
        <v>40</v>
      </c>
      <c r="AK414" s="370"/>
      <c r="AL414" s="400">
        <v>4</v>
      </c>
      <c r="AM414" s="403" t="str">
        <f>VLOOKUP(Table2[[#This Row],[Course Title]],'TSD-Data'!$A$1:$G$70,7,FALSE)</f>
        <v>N5</v>
      </c>
    </row>
    <row r="415" spans="1:39" s="380" customFormat="1" x14ac:dyDescent="0.25">
      <c r="A415" s="368"/>
      <c r="B415" s="369" t="s">
        <v>38</v>
      </c>
      <c r="C415" s="370" t="str">
        <f>VLOOKUP(Table2[[#This Row],[Course Title]],'TSD-Data'!$A$1:$E$70,2,FALSE)</f>
        <v>A-493-0061</v>
      </c>
      <c r="D415" s="370" t="str">
        <f>VLOOKUP(Table2[[#This Row],[Course Title]],'TSD-Data'!$A$1:$E$70,3,FALSE)</f>
        <v>288E</v>
      </c>
      <c r="E415" s="369" t="s">
        <v>86</v>
      </c>
      <c r="F415" s="371">
        <v>46230</v>
      </c>
      <c r="G415" s="371">
        <v>46233</v>
      </c>
      <c r="H415" s="371" t="s">
        <v>752</v>
      </c>
      <c r="I415" s="372"/>
      <c r="J415" s="372">
        <v>0.5</v>
      </c>
      <c r="K415" s="381">
        <v>0.375</v>
      </c>
      <c r="L415" s="381">
        <v>0.79166666666666663</v>
      </c>
      <c r="M415" s="381">
        <v>0.75</v>
      </c>
      <c r="N415" s="381">
        <v>0.25</v>
      </c>
      <c r="O415" s="381">
        <v>4.1666666666666664E-2</v>
      </c>
      <c r="P415" s="375" t="s">
        <v>274</v>
      </c>
      <c r="Q415" s="375"/>
      <c r="R415" s="376"/>
      <c r="S415" s="370">
        <f>VLOOKUP(Table2[[#This Row],[Course Title]],'TSD-Data'!$A$1:$E$70,4,FALSE)</f>
        <v>45</v>
      </c>
      <c r="T415" s="377">
        <f>VLOOKUP(Table2[[#This Row],[Course Title]],'TSD-Data'!$A$1:$F$70,6,FALSE)</f>
        <v>30</v>
      </c>
      <c r="U415" s="378">
        <f>VLOOKUP(Table2[[#This Row],[Course Title]],'TSD-Data'!$A$1:$F$70,5,FALSE)</f>
        <v>4</v>
      </c>
      <c r="V415" s="379">
        <v>620</v>
      </c>
      <c r="W415" s="377"/>
      <c r="X415" s="377"/>
      <c r="Y415" s="378"/>
      <c r="Z415" s="378"/>
      <c r="AA415" s="370"/>
      <c r="AB415" s="370"/>
      <c r="AC415" s="370"/>
      <c r="AD415" s="370"/>
      <c r="AE415" s="378">
        <f ca="1">Table2[[#This Row],[End Date]]+2-TODAY()</f>
        <v>417</v>
      </c>
      <c r="AF415" s="370">
        <f>IF(ISBLANK(Table2[[#This Row],[Roster Received by]]),1,0)</f>
        <v>1</v>
      </c>
      <c r="AG415" s="377">
        <f ca="1">IF(Table2[[#This Row],[Start Date]]&gt;TODAY(),1,)</f>
        <v>1</v>
      </c>
      <c r="AH415" s="377">
        <f>IF(ISBLANK(Table2[[#This Row],[Primary Instructor]]),0,1)</f>
        <v>1</v>
      </c>
      <c r="AI415" s="377">
        <f>IF(ISBLANK(Table2[[#This Row],[Instructor 2]]),0,1)</f>
        <v>0</v>
      </c>
      <c r="AJ415" s="377">
        <f>Table2[[#This Row],[Course Length (Hours)]]/(SUM(Table2[[#This Row],[1]:[2]]))</f>
        <v>30</v>
      </c>
      <c r="AK415" s="370"/>
      <c r="AL415" s="400">
        <v>4</v>
      </c>
      <c r="AM415" s="403" t="str">
        <f>VLOOKUP(Table2[[#This Row],[Course Title]],'TSD-Data'!$A$1:$G$70,7,FALSE)</f>
        <v>N5</v>
      </c>
    </row>
    <row r="416" spans="1:39" s="380" customFormat="1" x14ac:dyDescent="0.25">
      <c r="A416" s="368"/>
      <c r="B416" s="369" t="s">
        <v>61</v>
      </c>
      <c r="C416" s="370" t="str">
        <f>VLOOKUP(Table2[[#This Row],[Course Title]],'TSD-Data'!$A$1:$E$70,2,FALSE)</f>
        <v>A-493-0078</v>
      </c>
      <c r="D416" s="370">
        <f>VLOOKUP(Table2[[#This Row],[Course Title]],'TSD-Data'!$A$1:$E$70,3,FALSE)</f>
        <v>1228</v>
      </c>
      <c r="E416" s="369" t="s">
        <v>86</v>
      </c>
      <c r="F416" s="371">
        <v>46230</v>
      </c>
      <c r="G416" s="371">
        <v>46233</v>
      </c>
      <c r="H416" s="371" t="s">
        <v>752</v>
      </c>
      <c r="I416" s="372"/>
      <c r="J416" s="372">
        <v>0.5</v>
      </c>
      <c r="K416" s="381">
        <v>0.375</v>
      </c>
      <c r="L416" s="381">
        <v>0.79166666666666663</v>
      </c>
      <c r="M416" s="381">
        <v>0.75</v>
      </c>
      <c r="N416" s="381">
        <v>0.25</v>
      </c>
      <c r="O416" s="381">
        <v>4.1666666666666664E-2</v>
      </c>
      <c r="P416" s="375" t="s">
        <v>256</v>
      </c>
      <c r="Q416" s="375"/>
      <c r="R416" s="376"/>
      <c r="S416" s="370">
        <f>VLOOKUP(Table2[[#This Row],[Course Title]],'TSD-Data'!$A$1:$E$70,4,FALSE)</f>
        <v>45</v>
      </c>
      <c r="T416" s="377">
        <f>VLOOKUP(Table2[[#This Row],[Course Title]],'TSD-Data'!$A$1:$F$70,6,FALSE)</f>
        <v>32</v>
      </c>
      <c r="U416" s="378">
        <f>VLOOKUP(Table2[[#This Row],[Course Title]],'TSD-Data'!$A$1:$F$70,5,FALSE)</f>
        <v>4</v>
      </c>
      <c r="V416" s="379">
        <v>568</v>
      </c>
      <c r="W416" s="377"/>
      <c r="X416" s="377"/>
      <c r="Y416" s="378"/>
      <c r="Z416" s="378"/>
      <c r="AA416" s="370"/>
      <c r="AB416" s="370"/>
      <c r="AC416" s="370"/>
      <c r="AD416" s="370"/>
      <c r="AE416" s="378">
        <f ca="1">Table2[[#This Row],[End Date]]+2-TODAY()</f>
        <v>417</v>
      </c>
      <c r="AF416" s="370">
        <f>IF(ISBLANK(Table2[[#This Row],[Roster Received by]]),1,0)</f>
        <v>1</v>
      </c>
      <c r="AG416" s="377">
        <f ca="1">IF(Table2[[#This Row],[Start Date]]&gt;TODAY(),1,)</f>
        <v>1</v>
      </c>
      <c r="AH416" s="377">
        <f>IF(ISBLANK(Table2[[#This Row],[Primary Instructor]]),0,1)</f>
        <v>1</v>
      </c>
      <c r="AI416" s="377">
        <f>IF(ISBLANK(Table2[[#This Row],[Instructor 2]]),0,1)</f>
        <v>0</v>
      </c>
      <c r="AJ416" s="377">
        <f>Table2[[#This Row],[Course Length (Hours)]]/(SUM(Table2[[#This Row],[1]:[2]]))</f>
        <v>32</v>
      </c>
      <c r="AK416" s="370"/>
      <c r="AL416" s="400">
        <v>4</v>
      </c>
      <c r="AM416" s="403" t="str">
        <f>VLOOKUP(Table2[[#This Row],[Course Title]],'TSD-Data'!$A$1:$G$70,7,FALSE)</f>
        <v>N5</v>
      </c>
    </row>
    <row r="417" spans="1:39" s="380" customFormat="1" x14ac:dyDescent="0.25">
      <c r="A417" s="368"/>
      <c r="B417" s="432" t="s">
        <v>52</v>
      </c>
      <c r="C417" s="370" t="str">
        <f>VLOOKUP(Table2[[#This Row],[Course Title]],'TSD-Data'!$A$1:$E$70,2,FALSE)</f>
        <v>A-493-0085</v>
      </c>
      <c r="D417" s="370">
        <f>VLOOKUP(Table2[[#This Row],[Course Title]],'TSD-Data'!$A$1:$E$70,3,FALSE)</f>
        <v>3555</v>
      </c>
      <c r="E417" s="369" t="s">
        <v>86</v>
      </c>
      <c r="F417" s="371">
        <v>46230</v>
      </c>
      <c r="G417" s="371">
        <v>46233</v>
      </c>
      <c r="H417" s="371" t="s">
        <v>752</v>
      </c>
      <c r="I417" s="372"/>
      <c r="J417" s="372">
        <v>0.33333333333333331</v>
      </c>
      <c r="K417" s="372">
        <v>0.20833333333333334</v>
      </c>
      <c r="L417" s="372">
        <v>0.625</v>
      </c>
      <c r="M417" s="372">
        <v>0.54166666666666663</v>
      </c>
      <c r="N417" s="372">
        <v>8.3333333333333329E-2</v>
      </c>
      <c r="O417" s="372">
        <v>0.875</v>
      </c>
      <c r="P417" s="375" t="s">
        <v>293</v>
      </c>
      <c r="Q417" s="375"/>
      <c r="R417" s="376"/>
      <c r="S417" s="370">
        <f>VLOOKUP(Table2[[#This Row],[Course Title]],'TSD-Data'!$A$1:$E$70,4,FALSE)</f>
        <v>45</v>
      </c>
      <c r="T417" s="377">
        <f>VLOOKUP(Table2[[#This Row],[Course Title]],'TSD-Data'!$A$1:$F$70,6,FALSE)</f>
        <v>32</v>
      </c>
      <c r="U417" s="378">
        <f>VLOOKUP(Table2[[#This Row],[Course Title]],'TSD-Data'!$A$1:$F$70,5,FALSE)</f>
        <v>4</v>
      </c>
      <c r="V417" s="379">
        <v>397</v>
      </c>
      <c r="W417" s="377"/>
      <c r="X417" s="377"/>
      <c r="Y417" s="378"/>
      <c r="Z417" s="378"/>
      <c r="AA417" s="370"/>
      <c r="AB417" s="370"/>
      <c r="AC417" s="370"/>
      <c r="AD417" s="370"/>
      <c r="AE417" s="378">
        <f ca="1">Table2[[#This Row],[End Date]]+2-TODAY()</f>
        <v>417</v>
      </c>
      <c r="AF417" s="370">
        <f>IF(ISBLANK(Table2[[#This Row],[Roster Received by]]),1,0)</f>
        <v>1</v>
      </c>
      <c r="AG417" s="377">
        <f ca="1">IF(Table2[[#This Row],[Start Date]]&gt;TODAY(),1,)</f>
        <v>1</v>
      </c>
      <c r="AH417" s="377">
        <f>IF(ISBLANK(Table2[[#This Row],[Primary Instructor]]),0,1)</f>
        <v>1</v>
      </c>
      <c r="AI417" s="377">
        <f>IF(ISBLANK(Table2[[#This Row],[Instructor 2]]),0,1)</f>
        <v>0</v>
      </c>
      <c r="AJ417" s="377">
        <f>Table2[[#This Row],[Course Length (Hours)]]/(SUM(Table2[[#This Row],[1]:[2]]))</f>
        <v>32</v>
      </c>
      <c r="AK417" s="370"/>
      <c r="AL417" s="400">
        <v>4</v>
      </c>
      <c r="AM417" s="403" t="str">
        <f>VLOOKUP(Table2[[#This Row],[Course Title]],'TSD-Data'!$A$1:$G$70,7,FALSE)</f>
        <v>N3</v>
      </c>
    </row>
    <row r="418" spans="1:39" s="380" customFormat="1" x14ac:dyDescent="0.25">
      <c r="A418" s="368"/>
      <c r="B418" s="369" t="s">
        <v>53</v>
      </c>
      <c r="C418" s="370" t="str">
        <f>VLOOKUP(Table2[[#This Row],[Course Title]],'TSD-Data'!$A$1:$E$70,2,FALSE)</f>
        <v>A-493-0072</v>
      </c>
      <c r="D418" s="370" t="str">
        <f>VLOOKUP(Table2[[#This Row],[Course Title]],'TSD-Data'!$A$1:$E$70,3,FALSE)</f>
        <v>713U</v>
      </c>
      <c r="E418" s="369" t="s">
        <v>176</v>
      </c>
      <c r="F418" s="371">
        <v>46230</v>
      </c>
      <c r="G418" s="371">
        <v>46265</v>
      </c>
      <c r="H418" s="371" t="s">
        <v>752</v>
      </c>
      <c r="I418" s="372">
        <v>0.33333333333333331</v>
      </c>
      <c r="J418" s="372"/>
      <c r="K418" s="371"/>
      <c r="L418" s="371"/>
      <c r="M418" s="371"/>
      <c r="N418" s="371"/>
      <c r="O418" s="371"/>
      <c r="P418" s="375" t="s">
        <v>297</v>
      </c>
      <c r="Q418" s="375"/>
      <c r="R418" s="376" t="s">
        <v>252</v>
      </c>
      <c r="S418" s="370">
        <f>VLOOKUP(Table2[[#This Row],[Course Title]],'TSD-Data'!$A$1:$E$70,4,FALSE)</f>
        <v>30</v>
      </c>
      <c r="T418" s="377">
        <f>VLOOKUP(Table2[[#This Row],[Course Title]],'TSD-Data'!$A$1:$F$70,6,FALSE)</f>
        <v>40</v>
      </c>
      <c r="U418" s="378">
        <f>VLOOKUP(Table2[[#This Row],[Course Title]],'TSD-Data'!$A$1:$F$70,5,FALSE)</f>
        <v>5</v>
      </c>
      <c r="V418" s="379">
        <v>265</v>
      </c>
      <c r="W418" s="377"/>
      <c r="X418" s="377"/>
      <c r="Y418" s="378"/>
      <c r="Z418" s="378"/>
      <c r="AA418" s="370"/>
      <c r="AB418" s="370"/>
      <c r="AC418" s="370"/>
      <c r="AD418" s="370"/>
      <c r="AE418" s="378">
        <f ca="1">Table2[[#This Row],[End Date]]+2-TODAY()</f>
        <v>449</v>
      </c>
      <c r="AF418" s="370">
        <f>IF(ISBLANK(Table2[[#This Row],[Roster Received by]]),1,0)</f>
        <v>1</v>
      </c>
      <c r="AG418" s="377">
        <f ca="1">IF(Table2[[#This Row],[Start Date]]&gt;TODAY(),1,)</f>
        <v>1</v>
      </c>
      <c r="AH418" s="377">
        <f>IF(ISBLANK(Table2[[#This Row],[Primary Instructor]]),0,1)</f>
        <v>1</v>
      </c>
      <c r="AI418" s="377">
        <f>IF(ISBLANK(Table2[[#This Row],[Instructor 2]]),0,1)</f>
        <v>0</v>
      </c>
      <c r="AJ418" s="377">
        <f>Table2[[#This Row],[Course Length (Hours)]]/(SUM(Table2[[#This Row],[1]:[2]]))</f>
        <v>40</v>
      </c>
      <c r="AK418" s="370"/>
      <c r="AL418" s="400">
        <v>4</v>
      </c>
      <c r="AM418" s="403" t="str">
        <f>VLOOKUP(Table2[[#This Row],[Course Title]],'TSD-Data'!$A$1:$G$70,7,FALSE)</f>
        <v>N3</v>
      </c>
    </row>
    <row r="419" spans="1:39" s="380" customFormat="1" x14ac:dyDescent="0.25">
      <c r="A419" s="368"/>
      <c r="B419" s="369" t="s">
        <v>59</v>
      </c>
      <c r="C419" s="370" t="str">
        <f>VLOOKUP(Table2[[#This Row],[Course Title]],'TSD-Data'!$A$1:$E$70,2,FALSE)</f>
        <v>A-493-0550</v>
      </c>
      <c r="D419" s="370" t="str">
        <f>VLOOKUP(Table2[[#This Row],[Course Title]],'TSD-Data'!$A$1:$E$70,3,FALSE)</f>
        <v>09K5</v>
      </c>
      <c r="E419" s="369" t="s">
        <v>86</v>
      </c>
      <c r="F419" s="371">
        <v>46231</v>
      </c>
      <c r="G419" s="371">
        <v>46234</v>
      </c>
      <c r="H419" s="371" t="s">
        <v>752</v>
      </c>
      <c r="I419" s="372"/>
      <c r="J419" s="440">
        <v>0.33333333333333331</v>
      </c>
      <c r="K419" s="440">
        <v>0.20833333333333334</v>
      </c>
      <c r="L419" s="440">
        <v>0.625</v>
      </c>
      <c r="M419" s="440">
        <v>0.54166666666666663</v>
      </c>
      <c r="N419" s="440">
        <v>8.3333333333333329E-2</v>
      </c>
      <c r="O419" s="440">
        <v>0.875</v>
      </c>
      <c r="P419" s="375" t="s">
        <v>272</v>
      </c>
      <c r="Q419" s="375"/>
      <c r="R419" s="376"/>
      <c r="S419" s="370">
        <f>VLOOKUP(Table2[[#This Row],[Course Title]],'TSD-Data'!$A$1:$E$70,4,FALSE)</f>
        <v>45</v>
      </c>
      <c r="T419" s="377">
        <f>VLOOKUP(Table2[[#This Row],[Course Title]],'TSD-Data'!$A$1:$F$70,6,FALSE)</f>
        <v>32</v>
      </c>
      <c r="U419" s="378">
        <f>VLOOKUP(Table2[[#This Row],[Course Title]],'TSD-Data'!$A$1:$F$70,5,FALSE)</f>
        <v>4</v>
      </c>
      <c r="V419" s="379">
        <v>455</v>
      </c>
      <c r="W419" s="377"/>
      <c r="X419" s="377"/>
      <c r="Y419" s="378"/>
      <c r="Z419" s="378"/>
      <c r="AA419" s="370"/>
      <c r="AB419" s="370"/>
      <c r="AC419" s="370"/>
      <c r="AD419" s="370"/>
      <c r="AE419" s="378">
        <f ca="1">Table2[[#This Row],[End Date]]+2-TODAY()</f>
        <v>418</v>
      </c>
      <c r="AF419" s="370">
        <f>IF(ISBLANK(Table2[[#This Row],[Roster Received by]]),1,0)</f>
        <v>1</v>
      </c>
      <c r="AG419" s="377">
        <f ca="1">IF(Table2[[#This Row],[Start Date]]&gt;TODAY(),1,)</f>
        <v>1</v>
      </c>
      <c r="AH419" s="377">
        <f>IF(ISBLANK(Table2[[#This Row],[Primary Instructor]]),0,1)</f>
        <v>1</v>
      </c>
      <c r="AI419" s="377">
        <f>IF(ISBLANK(Table2[[#This Row],[Instructor 2]]),0,1)</f>
        <v>0</v>
      </c>
      <c r="AJ419" s="377">
        <f>Table2[[#This Row],[Course Length (Hours)]]/(SUM(Table2[[#This Row],[1]:[2]]))</f>
        <v>32</v>
      </c>
      <c r="AK419" s="370"/>
      <c r="AL419" s="400">
        <v>4</v>
      </c>
      <c r="AM419" s="403" t="str">
        <f>VLOOKUP(Table2[[#This Row],[Course Title]],'TSD-Data'!$A$1:$G$70,7,FALSE)</f>
        <v>N5</v>
      </c>
    </row>
    <row r="420" spans="1:39" s="380" customFormat="1" x14ac:dyDescent="0.25">
      <c r="A420" s="413"/>
      <c r="B420" s="369" t="s">
        <v>29</v>
      </c>
      <c r="C420" s="370" t="str">
        <f>VLOOKUP(Table2[[#This Row],[Course Title]],'TSD-Data'!$A$1:$E$70,2,FALSE)</f>
        <v>A-493-0077</v>
      </c>
      <c r="D420" s="370" t="str">
        <f>VLOOKUP(Table2[[#This Row],[Course Title]],'TSD-Data'!$A$1:$E$70,3,FALSE)</f>
        <v>0381</v>
      </c>
      <c r="E420" s="414" t="s">
        <v>750</v>
      </c>
      <c r="F420" s="416">
        <v>46232</v>
      </c>
      <c r="G420" s="416">
        <v>46234</v>
      </c>
      <c r="H420" s="426" t="s">
        <v>753</v>
      </c>
      <c r="I420" s="417">
        <v>0.33333333333333331</v>
      </c>
      <c r="J420" s="417"/>
      <c r="K420" s="416"/>
      <c r="L420" s="416"/>
      <c r="M420" s="416"/>
      <c r="N420" s="416"/>
      <c r="O420" s="416"/>
      <c r="P420" s="418" t="s">
        <v>241</v>
      </c>
      <c r="Q420" s="418"/>
      <c r="R420" s="376"/>
      <c r="S420" s="370">
        <f>VLOOKUP(Table2[[#This Row],[Course Title]],'TSD-Data'!$A$1:$E$70,4,FALSE)</f>
        <v>25</v>
      </c>
      <c r="T420" s="377">
        <f>VLOOKUP(Table2[[#This Row],[Course Title]],'TSD-Data'!$A$1:$F$70,6,FALSE)</f>
        <v>24</v>
      </c>
      <c r="U420" s="378">
        <f>VLOOKUP(Table2[[#This Row],[Course Title]],'TSD-Data'!$A$1:$F$70,5,FALSE)</f>
        <v>3</v>
      </c>
      <c r="V420" s="379">
        <v>23</v>
      </c>
      <c r="W420" s="377"/>
      <c r="X420" s="377"/>
      <c r="Y420" s="420"/>
      <c r="Z420" s="420"/>
      <c r="AA420" s="415"/>
      <c r="AB420" s="415"/>
      <c r="AC420" s="421"/>
      <c r="AD420" s="421"/>
      <c r="AE420" s="420">
        <v>429</v>
      </c>
      <c r="AF420" s="415">
        <v>1</v>
      </c>
      <c r="AG420" s="403">
        <v>1</v>
      </c>
      <c r="AH420" s="403">
        <v>1</v>
      </c>
      <c r="AI420" s="403">
        <v>0</v>
      </c>
      <c r="AJ420" s="403">
        <v>24</v>
      </c>
      <c r="AK420" s="415"/>
      <c r="AL420" s="400">
        <v>4</v>
      </c>
      <c r="AM420" s="403" t="str">
        <f>VLOOKUP(Table2[[#This Row],[Course Title]],'TSD-Data'!$A$1:$G$70,7,FALSE)</f>
        <v>N4</v>
      </c>
    </row>
    <row r="421" spans="1:39" s="380" customFormat="1" x14ac:dyDescent="0.25">
      <c r="A421" s="368"/>
      <c r="B421" s="432" t="s">
        <v>55</v>
      </c>
      <c r="C421" s="370" t="str">
        <f>VLOOKUP(Table2[[#This Row],[Course Title]],'TSD-Data'!$A$1:$E$70,2,FALSE)</f>
        <v>A-493-0103</v>
      </c>
      <c r="D421" s="370" t="str">
        <f>VLOOKUP(Table2[[#This Row],[Course Title]],'TSD-Data'!$A$1:$E$70,3,FALSE)</f>
        <v>12JY</v>
      </c>
      <c r="E421" s="369" t="s">
        <v>404</v>
      </c>
      <c r="F421" s="371">
        <v>46237</v>
      </c>
      <c r="G421" s="371">
        <v>46241</v>
      </c>
      <c r="H421" s="371" t="s">
        <v>752</v>
      </c>
      <c r="I421" s="372">
        <v>0.33333333333333331</v>
      </c>
      <c r="J421" s="372"/>
      <c r="K421" s="371"/>
      <c r="L421" s="371"/>
      <c r="M421" s="371"/>
      <c r="N421" s="371"/>
      <c r="O421" s="371"/>
      <c r="P421" s="375" t="s">
        <v>289</v>
      </c>
      <c r="Q421" s="375"/>
      <c r="R421" s="376"/>
      <c r="S421" s="370">
        <f>VLOOKUP(Table2[[#This Row],[Course Title]],'TSD-Data'!$A$1:$E$70,4,FALSE)</f>
        <v>25</v>
      </c>
      <c r="T421" s="377">
        <f>VLOOKUP(Table2[[#This Row],[Course Title]],'TSD-Data'!$A$1:$F$70,6,FALSE)</f>
        <v>40</v>
      </c>
      <c r="U421" s="378">
        <f>VLOOKUP(Table2[[#This Row],[Course Title]],'TSD-Data'!$A$1:$F$70,5,FALSE)</f>
        <v>5</v>
      </c>
      <c r="V421" s="379">
        <v>25</v>
      </c>
      <c r="W421" s="377"/>
      <c r="X421" s="377"/>
      <c r="Y421" s="378"/>
      <c r="Z421" s="378"/>
      <c r="AA421" s="370"/>
      <c r="AB421" s="370"/>
      <c r="AC421" s="370"/>
      <c r="AD421" s="370"/>
      <c r="AE421" s="378">
        <f ca="1">Table2[[#This Row],[End Date]]+2-TODAY()</f>
        <v>425</v>
      </c>
      <c r="AF421" s="370">
        <f>IF(ISBLANK(Table2[[#This Row],[Roster Received by]]),1,0)</f>
        <v>1</v>
      </c>
      <c r="AG421" s="377">
        <f ca="1">IF(Table2[[#This Row],[Start Date]]&gt;TODAY(),1,)</f>
        <v>1</v>
      </c>
      <c r="AH421" s="377">
        <f>IF(ISBLANK(Table2[[#This Row],[Primary Instructor]]),0,1)</f>
        <v>1</v>
      </c>
      <c r="AI421" s="377">
        <f>IF(ISBLANK(Table2[[#This Row],[Instructor 2]]),0,1)</f>
        <v>0</v>
      </c>
      <c r="AJ421" s="377">
        <f>Table2[[#This Row],[Course Length (Hours)]]/(SUM(Table2[[#This Row],[1]:[2]]))</f>
        <v>40</v>
      </c>
      <c r="AK421" s="370"/>
      <c r="AL421" s="400">
        <v>4</v>
      </c>
      <c r="AM421" s="403" t="str">
        <f>VLOOKUP(Table2[[#This Row],[Course Title]],'TSD-Data'!$A$1:$G$70,7,FALSE)</f>
        <v>N5</v>
      </c>
    </row>
    <row r="422" spans="1:39" s="380" customFormat="1" x14ac:dyDescent="0.25">
      <c r="A422" s="368"/>
      <c r="B422" s="432" t="s">
        <v>47</v>
      </c>
      <c r="C422" s="370" t="str">
        <f>VLOOKUP(Table2[[#This Row],[Course Title]],'TSD-Data'!$A$1:$E$70,2,FALSE)</f>
        <v>A-493-0030</v>
      </c>
      <c r="D422" s="370" t="str">
        <f>VLOOKUP(Table2[[#This Row],[Course Title]],'TSD-Data'!$A$1:$E$70,3,FALSE)</f>
        <v>286X</v>
      </c>
      <c r="E422" s="369" t="s">
        <v>157</v>
      </c>
      <c r="F422" s="371">
        <v>46237</v>
      </c>
      <c r="G422" s="371">
        <v>46241</v>
      </c>
      <c r="H422" s="371" t="s">
        <v>752</v>
      </c>
      <c r="I422" s="372">
        <v>0.33333333333333331</v>
      </c>
      <c r="J422" s="392"/>
      <c r="K422" s="437"/>
      <c r="L422" s="371"/>
      <c r="M422" s="371"/>
      <c r="N422" s="371"/>
      <c r="O422" s="371"/>
      <c r="P422" s="375" t="s">
        <v>304</v>
      </c>
      <c r="Q422" s="375"/>
      <c r="R422" s="376"/>
      <c r="S422" s="370">
        <f>VLOOKUP(Table2[[#This Row],[Course Title]],'TSD-Data'!$A$1:$E$70,4,FALSE)</f>
        <v>25</v>
      </c>
      <c r="T422" s="377">
        <f>VLOOKUP(Table2[[#This Row],[Course Title]],'TSD-Data'!$A$1:$F$70,6,FALSE)</f>
        <v>40</v>
      </c>
      <c r="U422" s="378">
        <f>VLOOKUP(Table2[[#This Row],[Course Title]],'TSD-Data'!$A$1:$F$70,5,FALSE)</f>
        <v>5</v>
      </c>
      <c r="V422" s="379">
        <v>94</v>
      </c>
      <c r="W422" s="377"/>
      <c r="X422" s="377"/>
      <c r="Y422" s="378"/>
      <c r="Z422" s="378"/>
      <c r="AA422" s="370"/>
      <c r="AB422" s="370"/>
      <c r="AC422" s="370"/>
      <c r="AD422" s="370"/>
      <c r="AE422" s="378">
        <f ca="1">Table2[[#This Row],[End Date]]+2-TODAY()</f>
        <v>425</v>
      </c>
      <c r="AF422" s="370">
        <f>IF(ISBLANK(Table2[[#This Row],[Roster Received by]]),1,0)</f>
        <v>1</v>
      </c>
      <c r="AG422" s="377">
        <f ca="1">IF(Table2[[#This Row],[Start Date]]&gt;TODAY(),1,)</f>
        <v>1</v>
      </c>
      <c r="AH422" s="377">
        <f>IF(ISBLANK(Table2[[#This Row],[Primary Instructor]]),0,1)</f>
        <v>1</v>
      </c>
      <c r="AI422" s="377">
        <f>IF(ISBLANK(Table2[[#This Row],[Instructor 2]]),0,1)</f>
        <v>0</v>
      </c>
      <c r="AJ422" s="377">
        <f>Table2[[#This Row],[Course Length (Hours)]]/(SUM(Table2[[#This Row],[1]:[2]]))</f>
        <v>40</v>
      </c>
      <c r="AK422" s="370"/>
      <c r="AL422" s="400">
        <v>4</v>
      </c>
      <c r="AM422" s="403" t="str">
        <f>VLOOKUP(Table2[[#This Row],[Course Title]],'TSD-Data'!$A$1:$G$70,7,FALSE)</f>
        <v>N3</v>
      </c>
    </row>
    <row r="423" spans="1:39" s="380" customFormat="1" x14ac:dyDescent="0.25">
      <c r="A423" s="368"/>
      <c r="B423" s="432" t="s">
        <v>48</v>
      </c>
      <c r="C423" s="370" t="str">
        <f>VLOOKUP(Table2[[#This Row],[Course Title]],'TSD-Data'!$A$1:$E$70,2,FALSE)</f>
        <v>A-760-2166</v>
      </c>
      <c r="D423" s="370" t="str">
        <f>VLOOKUP(Table2[[#This Row],[Course Title]],'TSD-Data'!$A$1:$E$70,3,FALSE)</f>
        <v>438J</v>
      </c>
      <c r="E423" s="369" t="s">
        <v>176</v>
      </c>
      <c r="F423" s="371">
        <v>46237</v>
      </c>
      <c r="G423" s="371">
        <v>46238</v>
      </c>
      <c r="H423" s="371" t="s">
        <v>752</v>
      </c>
      <c r="I423" s="372">
        <v>0.33333333333333331</v>
      </c>
      <c r="J423" s="372"/>
      <c r="K423" s="437"/>
      <c r="L423" s="371"/>
      <c r="M423" s="371"/>
      <c r="N423" s="371"/>
      <c r="O423" s="371"/>
      <c r="P423" s="375" t="s">
        <v>297</v>
      </c>
      <c r="Q423" s="375"/>
      <c r="R423" s="376"/>
      <c r="S423" s="370">
        <f>VLOOKUP(Table2[[#This Row],[Course Title]],'TSD-Data'!$A$1:$E$70,4,FALSE)</f>
        <v>25</v>
      </c>
      <c r="T423" s="377">
        <f>VLOOKUP(Table2[[#This Row],[Course Title]],'TSD-Data'!$A$1:$F$70,6,FALSE)</f>
        <v>16</v>
      </c>
      <c r="U423" s="378">
        <f>VLOOKUP(Table2[[#This Row],[Course Title]],'TSD-Data'!$A$1:$F$70,5,FALSE)</f>
        <v>2</v>
      </c>
      <c r="V423" s="379">
        <v>60</v>
      </c>
      <c r="W423" s="377"/>
      <c r="X423" s="377"/>
      <c r="Y423" s="378"/>
      <c r="Z423" s="378"/>
      <c r="AA423" s="370"/>
      <c r="AB423" s="370"/>
      <c r="AC423" s="370"/>
      <c r="AD423" s="370"/>
      <c r="AE423" s="378">
        <f ca="1">Table2[[#This Row],[End Date]]+2-TODAY()</f>
        <v>422</v>
      </c>
      <c r="AF423" s="370">
        <f>IF(ISBLANK(Table2[[#This Row],[Roster Received by]]),1,0)</f>
        <v>1</v>
      </c>
      <c r="AG423" s="377">
        <f ca="1">IF(Table2[[#This Row],[Start Date]]&gt;TODAY(),1,)</f>
        <v>1</v>
      </c>
      <c r="AH423" s="377">
        <f>IF(ISBLANK(Table2[[#This Row],[Primary Instructor]]),0,1)</f>
        <v>1</v>
      </c>
      <c r="AI423" s="377">
        <f>IF(ISBLANK(Table2[[#This Row],[Instructor 2]]),0,1)</f>
        <v>0</v>
      </c>
      <c r="AJ423" s="377">
        <f>Table2[[#This Row],[Course Length (Hours)]]/(SUM(Table2[[#This Row],[1]:[2]]))</f>
        <v>16</v>
      </c>
      <c r="AK423" s="370"/>
      <c r="AL423" s="400">
        <v>4</v>
      </c>
      <c r="AM423" s="403" t="str">
        <f>VLOOKUP(Table2[[#This Row],[Course Title]],'TSD-Data'!$A$1:$G$70,7,FALSE)</f>
        <v>N3</v>
      </c>
    </row>
    <row r="424" spans="1:39" s="380" customFormat="1" x14ac:dyDescent="0.25">
      <c r="A424" s="425" t="s">
        <v>724</v>
      </c>
      <c r="B424" s="401" t="s">
        <v>17</v>
      </c>
      <c r="C424" s="370" t="str">
        <f>VLOOKUP(Table2[[#This Row],[Course Title]],'TSD-Data'!$A$1:$E$70,2,FALSE)</f>
        <v>A-493-0012</v>
      </c>
      <c r="D424" s="370">
        <f>VLOOKUP(Table2[[#This Row],[Course Title]],'TSD-Data'!$A$1:$E$70,3,FALSE)</f>
        <v>3682</v>
      </c>
      <c r="E424" s="401" t="s">
        <v>404</v>
      </c>
      <c r="F424" s="426">
        <v>46237</v>
      </c>
      <c r="G424" s="426">
        <v>46241</v>
      </c>
      <c r="H424" s="426" t="s">
        <v>753</v>
      </c>
      <c r="I424" s="372">
        <v>0.33333333333333331</v>
      </c>
      <c r="J424" s="372"/>
      <c r="K424" s="371"/>
      <c r="L424" s="371"/>
      <c r="M424" s="371"/>
      <c r="N424" s="371"/>
      <c r="O424" s="371"/>
      <c r="P424" s="375" t="s">
        <v>241</v>
      </c>
      <c r="Q424" s="375"/>
      <c r="R424" s="376"/>
      <c r="S424" s="370">
        <f>VLOOKUP(Table2[[#This Row],[Course Title]],'TSD-Data'!$A$1:$E$70,4,FALSE)</f>
        <v>40</v>
      </c>
      <c r="T424" s="377">
        <f>VLOOKUP(Table2[[#This Row],[Course Title]],'TSD-Data'!$A$1:$F$70,6,FALSE)</f>
        <v>40</v>
      </c>
      <c r="U424" s="378">
        <f>VLOOKUP(Table2[[#This Row],[Course Title]],'TSD-Data'!$A$1:$F$70,5,FALSE)</f>
        <v>5</v>
      </c>
      <c r="V424" s="377">
        <v>30</v>
      </c>
      <c r="W424" s="377"/>
      <c r="X424" s="377"/>
      <c r="Y424" s="378"/>
      <c r="Z424" s="378"/>
      <c r="AA424" s="370"/>
      <c r="AB424" s="370"/>
      <c r="AC424" s="370"/>
      <c r="AD424" s="370"/>
      <c r="AE424" s="378" t="e">
        <v>#REF!</v>
      </c>
      <c r="AF424" s="370">
        <v>0</v>
      </c>
      <c r="AG424" s="377" t="e">
        <v>#REF!</v>
      </c>
      <c r="AH424" s="377">
        <v>1</v>
      </c>
      <c r="AI424" s="377">
        <v>1</v>
      </c>
      <c r="AJ424" s="377" t="e">
        <v>#VALUE!</v>
      </c>
      <c r="AK424" s="370"/>
      <c r="AL424" s="400">
        <v>4</v>
      </c>
      <c r="AM424" s="403" t="str">
        <f>VLOOKUP(Table2[[#This Row],[Course Title]],'TSD-Data'!$A$1:$G$70,7,FALSE)</f>
        <v>N4</v>
      </c>
    </row>
    <row r="425" spans="1:39" s="380" customFormat="1" x14ac:dyDescent="0.25">
      <c r="A425" s="413"/>
      <c r="B425" s="369" t="s">
        <v>29</v>
      </c>
      <c r="C425" s="370" t="str">
        <f>VLOOKUP(Table2[[#This Row],[Course Title]],'TSD-Data'!$A$1:$E$70,2,FALSE)</f>
        <v>A-493-0077</v>
      </c>
      <c r="D425" s="370" t="str">
        <f>VLOOKUP(Table2[[#This Row],[Course Title]],'TSD-Data'!$A$1:$E$70,3,FALSE)</f>
        <v>0381</v>
      </c>
      <c r="E425" s="414" t="s">
        <v>179</v>
      </c>
      <c r="F425" s="416">
        <v>46237</v>
      </c>
      <c r="G425" s="416">
        <v>46239</v>
      </c>
      <c r="H425" s="426" t="s">
        <v>753</v>
      </c>
      <c r="I425" s="417">
        <v>0.33333333333333331</v>
      </c>
      <c r="J425" s="417"/>
      <c r="K425" s="416"/>
      <c r="L425" s="416"/>
      <c r="M425" s="416"/>
      <c r="N425" s="416"/>
      <c r="O425" s="416"/>
      <c r="P425" s="418" t="s">
        <v>241</v>
      </c>
      <c r="Q425" s="418"/>
      <c r="R425" s="376"/>
      <c r="S425" s="370">
        <f>VLOOKUP(Table2[[#This Row],[Course Title]],'TSD-Data'!$A$1:$E$70,4,FALSE)</f>
        <v>25</v>
      </c>
      <c r="T425" s="377">
        <f>VLOOKUP(Table2[[#This Row],[Course Title]],'TSD-Data'!$A$1:$F$70,6,FALSE)</f>
        <v>24</v>
      </c>
      <c r="U425" s="378">
        <f>VLOOKUP(Table2[[#This Row],[Course Title]],'TSD-Data'!$A$1:$F$70,5,FALSE)</f>
        <v>3</v>
      </c>
      <c r="V425" s="379">
        <v>51</v>
      </c>
      <c r="W425" s="377"/>
      <c r="X425" s="377"/>
      <c r="Y425" s="420"/>
      <c r="Z425" s="420"/>
      <c r="AA425" s="415"/>
      <c r="AB425" s="415"/>
      <c r="AC425" s="421"/>
      <c r="AD425" s="421"/>
      <c r="AE425" s="420">
        <v>434</v>
      </c>
      <c r="AF425" s="415">
        <v>1</v>
      </c>
      <c r="AG425" s="403">
        <v>1</v>
      </c>
      <c r="AH425" s="403">
        <v>1</v>
      </c>
      <c r="AI425" s="403">
        <v>0</v>
      </c>
      <c r="AJ425" s="403">
        <v>24</v>
      </c>
      <c r="AK425" s="415"/>
      <c r="AL425" s="400">
        <v>4</v>
      </c>
      <c r="AM425" s="403" t="str">
        <f>VLOOKUP(Table2[[#This Row],[Course Title]],'TSD-Data'!$A$1:$G$70,7,FALSE)</f>
        <v>N4</v>
      </c>
    </row>
    <row r="426" spans="1:39" s="380" customFormat="1" x14ac:dyDescent="0.25">
      <c r="A426" s="368" t="s">
        <v>569</v>
      </c>
      <c r="B426" s="369" t="s">
        <v>53</v>
      </c>
      <c r="C426" s="370" t="str">
        <f>VLOOKUP(Table2[[#This Row],[Course Title]],'TSD-Data'!$A$1:$E$70,2,FALSE)</f>
        <v>A-493-0072</v>
      </c>
      <c r="D426" s="370" t="str">
        <f>VLOOKUP(Table2[[#This Row],[Course Title]],'TSD-Data'!$A$1:$E$70,3,FALSE)</f>
        <v>713U</v>
      </c>
      <c r="E426" s="369" t="s">
        <v>164</v>
      </c>
      <c r="F426" s="371">
        <v>46237</v>
      </c>
      <c r="G426" s="371">
        <v>46241</v>
      </c>
      <c r="H426" s="371" t="s">
        <v>752</v>
      </c>
      <c r="I426" s="372">
        <v>0.33333333333333331</v>
      </c>
      <c r="J426" s="372"/>
      <c r="K426" s="371"/>
      <c r="L426" s="371"/>
      <c r="M426" s="371"/>
      <c r="N426" s="371"/>
      <c r="O426" s="371"/>
      <c r="P426" s="375" t="s">
        <v>293</v>
      </c>
      <c r="Q426" s="375"/>
      <c r="R426" s="376" t="s">
        <v>248</v>
      </c>
      <c r="S426" s="370">
        <f>VLOOKUP(Table2[[#This Row],[Course Title]],'TSD-Data'!$A$1:$E$70,4,FALSE)</f>
        <v>30</v>
      </c>
      <c r="T426" s="377">
        <f>VLOOKUP(Table2[[#This Row],[Course Title]],'TSD-Data'!$A$1:$F$70,6,FALSE)</f>
        <v>40</v>
      </c>
      <c r="U426" s="378">
        <f>VLOOKUP(Table2[[#This Row],[Course Title]],'TSD-Data'!$A$1:$F$70,5,FALSE)</f>
        <v>5</v>
      </c>
      <c r="V426" s="379">
        <v>4</v>
      </c>
      <c r="W426" s="377"/>
      <c r="X426" s="377"/>
      <c r="Y426" s="378"/>
      <c r="Z426" s="378"/>
      <c r="AA426" s="370"/>
      <c r="AB426" s="370"/>
      <c r="AC426" s="370"/>
      <c r="AD426" s="370"/>
      <c r="AE426" s="378">
        <f ca="1">Table2[[#This Row],[End Date]]+2-TODAY()</f>
        <v>425</v>
      </c>
      <c r="AF426" s="370">
        <f>IF(ISBLANK(Table2[[#This Row],[Roster Received by]]),1,0)</f>
        <v>1</v>
      </c>
      <c r="AG426" s="377">
        <f ca="1">IF(Table2[[#This Row],[Start Date]]&gt;TODAY(),1,)</f>
        <v>1</v>
      </c>
      <c r="AH426" s="377">
        <f>IF(ISBLANK(Table2[[#This Row],[Primary Instructor]]),0,1)</f>
        <v>1</v>
      </c>
      <c r="AI426" s="377">
        <f>IF(ISBLANK(Table2[[#This Row],[Instructor 2]]),0,1)</f>
        <v>0</v>
      </c>
      <c r="AJ426" s="377">
        <f>Table2[[#This Row],[Course Length (Hours)]]/(SUM(Table2[[#This Row],[1]:[2]]))</f>
        <v>40</v>
      </c>
      <c r="AK426" s="370"/>
      <c r="AL426" s="400">
        <v>4</v>
      </c>
      <c r="AM426" s="403" t="str">
        <f>VLOOKUP(Table2[[#This Row],[Course Title]],'TSD-Data'!$A$1:$G$70,7,FALSE)</f>
        <v>N3</v>
      </c>
    </row>
    <row r="427" spans="1:39" s="380" customFormat="1" x14ac:dyDescent="0.25">
      <c r="A427" s="368"/>
      <c r="B427" s="369" t="s">
        <v>334</v>
      </c>
      <c r="C427" s="370" t="str">
        <f>VLOOKUP(Table2[[#This Row],[Course Title]],'TSD-Data'!$A$1:$E$70,2,FALSE)</f>
        <v>A-493-2099</v>
      </c>
      <c r="D427" s="370" t="str">
        <f>VLOOKUP(Table2[[#This Row],[Course Title]],'TSD-Data'!$A$1:$E$70,3,FALSE)</f>
        <v>438G</v>
      </c>
      <c r="E427" s="369" t="s">
        <v>170</v>
      </c>
      <c r="F427" s="371">
        <v>46237</v>
      </c>
      <c r="G427" s="371">
        <v>46239</v>
      </c>
      <c r="H427" s="371" t="s">
        <v>752</v>
      </c>
      <c r="I427" s="372">
        <v>0.33333333333333331</v>
      </c>
      <c r="J427" s="372">
        <v>0.5</v>
      </c>
      <c r="K427" s="371"/>
      <c r="L427" s="371"/>
      <c r="M427" s="371"/>
      <c r="N427" s="371"/>
      <c r="O427" s="371"/>
      <c r="P427" s="375" t="s">
        <v>244</v>
      </c>
      <c r="Q427" s="375"/>
      <c r="R427" s="376"/>
      <c r="S427" s="370">
        <f>VLOOKUP(Table2[[#This Row],[Course Title]],'TSD-Data'!$A$1:$E$70,4,FALSE)</f>
        <v>30</v>
      </c>
      <c r="T427" s="377">
        <f>VLOOKUP(Table2[[#This Row],[Course Title]],'TSD-Data'!$A$1:$F$70,6,FALSE)</f>
        <v>16</v>
      </c>
      <c r="U427" s="378">
        <f>VLOOKUP(Table2[[#This Row],[Course Title]],'TSD-Data'!$A$1:$F$70,5,FALSE)</f>
        <v>2</v>
      </c>
      <c r="V427" s="379">
        <v>0</v>
      </c>
      <c r="W427" s="377"/>
      <c r="X427" s="377"/>
      <c r="Y427" s="378"/>
      <c r="Z427" s="378"/>
      <c r="AA427" s="370"/>
      <c r="AB427" s="370"/>
      <c r="AC427" s="370"/>
      <c r="AD427" s="370"/>
      <c r="AE427" s="378">
        <f ca="1">Table2[[#This Row],[End Date]]+2-TODAY()</f>
        <v>423</v>
      </c>
      <c r="AF427" s="370">
        <f>IF(ISBLANK(Table2[[#This Row],[Roster Received by]]),1,0)</f>
        <v>1</v>
      </c>
      <c r="AG427" s="377">
        <f ca="1">IF(Table2[[#This Row],[Start Date]]&gt;TODAY(),1,)</f>
        <v>1</v>
      </c>
      <c r="AH427" s="377">
        <f>IF(ISBLANK(Table2[[#This Row],[Primary Instructor]]),0,1)</f>
        <v>1</v>
      </c>
      <c r="AI427" s="377">
        <f>IF(ISBLANK(Table2[[#This Row],[Instructor 2]]),0,1)</f>
        <v>0</v>
      </c>
      <c r="AJ427" s="377">
        <f>Table2[[#This Row],[Course Length (Hours)]]/(SUM(Table2[[#This Row],[1]:[2]]))</f>
        <v>16</v>
      </c>
      <c r="AK427" s="370"/>
      <c r="AL427" s="400">
        <v>4</v>
      </c>
      <c r="AM427" s="403" t="str">
        <f>VLOOKUP(Table2[[#This Row],[Course Title]],'TSD-Data'!$A$1:$G$70,7,FALSE)</f>
        <v>N1</v>
      </c>
    </row>
    <row r="428" spans="1:39" s="380" customFormat="1" x14ac:dyDescent="0.25">
      <c r="A428" s="368" t="s">
        <v>573</v>
      </c>
      <c r="B428" s="369" t="s">
        <v>348</v>
      </c>
      <c r="C428" s="370" t="str">
        <f>VLOOKUP(Table2[[#This Row],[Course Title]],'TSD-Data'!$A$1:$E$70,2,FALSE)</f>
        <v>TBD</v>
      </c>
      <c r="D428" s="370" t="str">
        <f>VLOOKUP(Table2[[#This Row],[Course Title]],'TSD-Data'!$A$1:$E$70,3,FALSE)</f>
        <v>TBD</v>
      </c>
      <c r="E428" s="369" t="s">
        <v>86</v>
      </c>
      <c r="F428" s="371">
        <v>46237</v>
      </c>
      <c r="G428" s="371">
        <v>46240</v>
      </c>
      <c r="H428" s="371" t="s">
        <v>752</v>
      </c>
      <c r="I428" s="372"/>
      <c r="J428" s="372">
        <v>0.33333333333333331</v>
      </c>
      <c r="K428" s="372">
        <v>0.20833333333333334</v>
      </c>
      <c r="L428" s="372">
        <v>0.625</v>
      </c>
      <c r="M428" s="372">
        <v>0.54166666666666663</v>
      </c>
      <c r="N428" s="372">
        <v>8.3333333333333329E-2</v>
      </c>
      <c r="O428" s="372">
        <v>0.875</v>
      </c>
      <c r="P428" s="375" t="s">
        <v>274</v>
      </c>
      <c r="Q428" s="375"/>
      <c r="R428" s="376"/>
      <c r="S428" s="370">
        <f>VLOOKUP(Table2[[#This Row],[Course Title]],'TSD-Data'!$A$1:$E$70,4,FALSE)</f>
        <v>0</v>
      </c>
      <c r="T428" s="377">
        <f>VLOOKUP(Table2[[#This Row],[Course Title]],'TSD-Data'!$A$1:$F$70,6,FALSE)</f>
        <v>0</v>
      </c>
      <c r="U428" s="378">
        <f>VLOOKUP(Table2[[#This Row],[Course Title]],'TSD-Data'!$A$1:$F$70,5,FALSE)</f>
        <v>0</v>
      </c>
      <c r="V428" s="379">
        <v>0</v>
      </c>
      <c r="W428" s="377"/>
      <c r="X428" s="377"/>
      <c r="Y428" s="378"/>
      <c r="Z428" s="378"/>
      <c r="AA428" s="370"/>
      <c r="AB428" s="370"/>
      <c r="AC428" s="370"/>
      <c r="AD428" s="370"/>
      <c r="AE428" s="378">
        <f ca="1">Table2[[#This Row],[End Date]]+2-TODAY()</f>
        <v>424</v>
      </c>
      <c r="AF428" s="370">
        <f>IF(ISBLANK(Table2[[#This Row],[Roster Received by]]),1,0)</f>
        <v>1</v>
      </c>
      <c r="AG428" s="377">
        <f ca="1">IF(Table2[[#This Row],[Start Date]]&gt;TODAY(),1,)</f>
        <v>1</v>
      </c>
      <c r="AH428" s="377">
        <f>IF(ISBLANK(Table2[[#This Row],[Primary Instructor]]),0,1)</f>
        <v>1</v>
      </c>
      <c r="AI428" s="377">
        <f>IF(ISBLANK(Table2[[#This Row],[Instructor 2]]),0,1)</f>
        <v>0</v>
      </c>
      <c r="AJ428" s="377">
        <f>Table2[[#This Row],[Course Length (Hours)]]/(SUM(Table2[[#This Row],[1]:[2]]))</f>
        <v>0</v>
      </c>
      <c r="AK428" s="370"/>
      <c r="AL428" s="400">
        <v>4</v>
      </c>
      <c r="AM428" s="403" t="str">
        <f>VLOOKUP(Table2[[#This Row],[Course Title]],'TSD-Data'!$A$1:$G$70,7,FALSE)</f>
        <v>N5</v>
      </c>
    </row>
    <row r="429" spans="1:39" s="380" customFormat="1" x14ac:dyDescent="0.25">
      <c r="A429" s="413" t="s">
        <v>741</v>
      </c>
      <c r="B429" s="414" t="s">
        <v>28</v>
      </c>
      <c r="C429" s="370" t="str">
        <f>VLOOKUP(Table2[[#This Row],[Course Title]],'TSD-Data'!$A$1:$E$70,2,FALSE)</f>
        <v>A-493-0013</v>
      </c>
      <c r="D429" s="370">
        <f>VLOOKUP(Table2[[#This Row],[Course Title]],'TSD-Data'!$A$1:$E$70,3,FALSE)</f>
        <v>3683</v>
      </c>
      <c r="E429" s="414" t="s">
        <v>250</v>
      </c>
      <c r="F429" s="416">
        <v>46238</v>
      </c>
      <c r="G429" s="416">
        <v>46240</v>
      </c>
      <c r="H429" s="426" t="s">
        <v>753</v>
      </c>
      <c r="I429" s="417">
        <v>0.33333333333333331</v>
      </c>
      <c r="J429" s="417"/>
      <c r="K429" s="416"/>
      <c r="L429" s="416"/>
      <c r="M429" s="416"/>
      <c r="N429" s="416"/>
      <c r="O429" s="416"/>
      <c r="P429" s="418" t="s">
        <v>241</v>
      </c>
      <c r="Q429" s="418"/>
      <c r="R429" s="376"/>
      <c r="S429" s="370">
        <f>VLOOKUP(Table2[[#This Row],[Course Title]],'TSD-Data'!$A$1:$E$70,4,FALSE)</f>
        <v>40</v>
      </c>
      <c r="T429" s="377">
        <f>VLOOKUP(Table2[[#This Row],[Course Title]],'TSD-Data'!$A$1:$F$70,6,FALSE)</f>
        <v>24</v>
      </c>
      <c r="U429" s="378">
        <f>VLOOKUP(Table2[[#This Row],[Course Title]],'TSD-Data'!$A$1:$F$70,5,FALSE)</f>
        <v>3</v>
      </c>
      <c r="V429" s="379">
        <v>30</v>
      </c>
      <c r="W429" s="377"/>
      <c r="X429" s="377"/>
      <c r="Y429" s="420"/>
      <c r="Z429" s="420"/>
      <c r="AA429" s="415"/>
      <c r="AB429" s="415"/>
      <c r="AC429" s="421"/>
      <c r="AD429" s="421"/>
      <c r="AE429" s="420">
        <v>435</v>
      </c>
      <c r="AF429" s="415">
        <v>1</v>
      </c>
      <c r="AG429" s="403">
        <v>1</v>
      </c>
      <c r="AH429" s="403">
        <v>1</v>
      </c>
      <c r="AI429" s="403">
        <v>0</v>
      </c>
      <c r="AJ429" s="403">
        <v>24</v>
      </c>
      <c r="AK429" s="415"/>
      <c r="AL429" s="400">
        <v>4</v>
      </c>
      <c r="AM429" s="403" t="str">
        <f>VLOOKUP(Table2[[#This Row],[Course Title]],'TSD-Data'!$A$1:$G$70,7,FALSE)</f>
        <v>N4</v>
      </c>
    </row>
    <row r="430" spans="1:39" s="380" customFormat="1" x14ac:dyDescent="0.25">
      <c r="A430" s="413" t="s">
        <v>742</v>
      </c>
      <c r="B430" s="414" t="s">
        <v>28</v>
      </c>
      <c r="C430" s="370" t="str">
        <f>VLOOKUP(Table2[[#This Row],[Course Title]],'TSD-Data'!$A$1:$E$70,2,FALSE)</f>
        <v>A-493-0013</v>
      </c>
      <c r="D430" s="370">
        <f>VLOOKUP(Table2[[#This Row],[Course Title]],'TSD-Data'!$A$1:$E$70,3,FALSE)</f>
        <v>3683</v>
      </c>
      <c r="E430" s="414" t="s">
        <v>173</v>
      </c>
      <c r="F430" s="416">
        <v>46238</v>
      </c>
      <c r="G430" s="416">
        <v>46240</v>
      </c>
      <c r="H430" s="426" t="s">
        <v>753</v>
      </c>
      <c r="I430" s="417">
        <v>0.33333333333333331</v>
      </c>
      <c r="J430" s="417"/>
      <c r="K430" s="416"/>
      <c r="L430" s="416"/>
      <c r="M430" s="416"/>
      <c r="N430" s="416"/>
      <c r="O430" s="416"/>
      <c r="P430" s="418" t="s">
        <v>241</v>
      </c>
      <c r="Q430" s="418"/>
      <c r="R430" s="376"/>
      <c r="S430" s="370">
        <f>VLOOKUP(Table2[[#This Row],[Course Title]],'TSD-Data'!$A$1:$E$70,4,FALSE)</f>
        <v>40</v>
      </c>
      <c r="T430" s="377">
        <f>VLOOKUP(Table2[[#This Row],[Course Title]],'TSD-Data'!$A$1:$F$70,6,FALSE)</f>
        <v>24</v>
      </c>
      <c r="U430" s="378">
        <f>VLOOKUP(Table2[[#This Row],[Course Title]],'TSD-Data'!$A$1:$F$70,5,FALSE)</f>
        <v>3</v>
      </c>
      <c r="V430" s="379">
        <v>30</v>
      </c>
      <c r="W430" s="377"/>
      <c r="X430" s="377"/>
      <c r="Y430" s="420"/>
      <c r="Z430" s="420"/>
      <c r="AA430" s="415"/>
      <c r="AB430" s="415"/>
      <c r="AC430" s="421"/>
      <c r="AD430" s="421"/>
      <c r="AE430" s="420">
        <v>435</v>
      </c>
      <c r="AF430" s="415">
        <v>1</v>
      </c>
      <c r="AG430" s="403">
        <v>1</v>
      </c>
      <c r="AH430" s="403">
        <v>1</v>
      </c>
      <c r="AI430" s="403">
        <v>0</v>
      </c>
      <c r="AJ430" s="403">
        <v>24</v>
      </c>
      <c r="AK430" s="415"/>
      <c r="AL430" s="400">
        <v>4</v>
      </c>
      <c r="AM430" s="403" t="str">
        <f>VLOOKUP(Table2[[#This Row],[Course Title]],'TSD-Data'!$A$1:$G$70,7,FALSE)</f>
        <v>N4</v>
      </c>
    </row>
    <row r="431" spans="1:39" s="380" customFormat="1" x14ac:dyDescent="0.25">
      <c r="A431" s="368"/>
      <c r="B431" s="369" t="s">
        <v>57</v>
      </c>
      <c r="C431" s="370" t="str">
        <f>VLOOKUP(Table2[[#This Row],[Course Title]],'TSD-Data'!$A$1:$E$70,2,FALSE)</f>
        <v>A-493-0099</v>
      </c>
      <c r="D431" s="370" t="str">
        <f>VLOOKUP(Table2[[#This Row],[Course Title]],'TSD-Data'!$A$1:$E$70,3,FALSE)</f>
        <v>12JW</v>
      </c>
      <c r="E431" s="369" t="s">
        <v>86</v>
      </c>
      <c r="F431" s="371">
        <v>46238</v>
      </c>
      <c r="G431" s="371">
        <v>46240</v>
      </c>
      <c r="H431" s="371" t="s">
        <v>752</v>
      </c>
      <c r="I431" s="372"/>
      <c r="J431" s="372">
        <v>0.33333333333333331</v>
      </c>
      <c r="K431" s="372">
        <v>0.20833333333333334</v>
      </c>
      <c r="L431" s="372">
        <v>0.625</v>
      </c>
      <c r="M431" s="372">
        <v>0.54166666666666663</v>
      </c>
      <c r="N431" s="372">
        <v>8.3333333333333329E-2</v>
      </c>
      <c r="O431" s="372">
        <v>0.875</v>
      </c>
      <c r="P431" s="375" t="s">
        <v>277</v>
      </c>
      <c r="Q431" s="375"/>
      <c r="R431" s="376"/>
      <c r="S431" s="370">
        <f>VLOOKUP(Table2[[#This Row],[Course Title]],'TSD-Data'!$A$1:$E$70,4,FALSE)</f>
        <v>45</v>
      </c>
      <c r="T431" s="377">
        <f>VLOOKUP(Table2[[#This Row],[Course Title]],'TSD-Data'!$A$1:$F$70,6,FALSE)</f>
        <v>24</v>
      </c>
      <c r="U431" s="378">
        <f>VLOOKUP(Table2[[#This Row],[Course Title]],'TSD-Data'!$A$1:$F$70,5,FALSE)</f>
        <v>3</v>
      </c>
      <c r="V431" s="379">
        <v>934</v>
      </c>
      <c r="W431" s="377"/>
      <c r="X431" s="377"/>
      <c r="Y431" s="378"/>
      <c r="Z431" s="378"/>
      <c r="AA431" s="370"/>
      <c r="AB431" s="370"/>
      <c r="AC431" s="370"/>
      <c r="AD431" s="370"/>
      <c r="AE431" s="378">
        <f ca="1">Table2[[#This Row],[End Date]]+2-TODAY()</f>
        <v>424</v>
      </c>
      <c r="AF431" s="370">
        <f>IF(ISBLANK(Table2[[#This Row],[Roster Received by]]),1,0)</f>
        <v>1</v>
      </c>
      <c r="AG431" s="377">
        <f ca="1">IF(Table2[[#This Row],[Start Date]]&gt;TODAY(),1,)</f>
        <v>1</v>
      </c>
      <c r="AH431" s="377">
        <f>IF(ISBLANK(Table2[[#This Row],[Primary Instructor]]),0,1)</f>
        <v>1</v>
      </c>
      <c r="AI431" s="377">
        <f>IF(ISBLANK(Table2[[#This Row],[Instructor 2]]),0,1)</f>
        <v>0</v>
      </c>
      <c r="AJ431" s="377">
        <f>Table2[[#This Row],[Course Length (Hours)]]/(SUM(Table2[[#This Row],[1]:[2]]))</f>
        <v>24</v>
      </c>
      <c r="AK431" s="370"/>
      <c r="AL431" s="400">
        <v>4</v>
      </c>
      <c r="AM431" s="403" t="str">
        <f>VLOOKUP(Table2[[#This Row],[Course Title]],'TSD-Data'!$A$1:$G$70,7,FALSE)</f>
        <v>N5</v>
      </c>
    </row>
    <row r="432" spans="1:39" s="380" customFormat="1" x14ac:dyDescent="0.25">
      <c r="A432" s="368"/>
      <c r="B432" s="369" t="s">
        <v>120</v>
      </c>
      <c r="C432" s="370" t="str">
        <f>VLOOKUP(Table2[[#This Row],[Course Title]],'TSD-Data'!$A$1:$E$70,2,FALSE)</f>
        <v>A-322-2604</v>
      </c>
      <c r="D432" s="370" t="str">
        <f>VLOOKUP(Table2[[#This Row],[Course Title]],'TSD-Data'!$A$1:$E$70,3,FALSE)</f>
        <v>10ZZ</v>
      </c>
      <c r="E432" s="369" t="s">
        <v>86</v>
      </c>
      <c r="F432" s="371">
        <v>46238</v>
      </c>
      <c r="G432" s="371">
        <v>46240</v>
      </c>
      <c r="H432" s="371" t="s">
        <v>752</v>
      </c>
      <c r="I432" s="372"/>
      <c r="J432" s="399">
        <v>0.79166666666666663</v>
      </c>
      <c r="K432" s="381">
        <v>0.66666666666666663</v>
      </c>
      <c r="L432" s="381">
        <v>8.3333333333333329E-2</v>
      </c>
      <c r="M432" s="381">
        <v>0</v>
      </c>
      <c r="N432" s="381">
        <v>0.54166666666666663</v>
      </c>
      <c r="O432" s="381">
        <v>0.33333333333333331</v>
      </c>
      <c r="P432" s="375" t="s">
        <v>252</v>
      </c>
      <c r="Q432" s="375"/>
      <c r="R432" s="376"/>
      <c r="S432" s="370">
        <f>VLOOKUP(Table2[[#This Row],[Course Title]],'TSD-Data'!$A$1:$E$70,4,FALSE)</f>
        <v>45</v>
      </c>
      <c r="T432" s="377">
        <f>VLOOKUP(Table2[[#This Row],[Course Title]],'TSD-Data'!$A$1:$F$70,6,FALSE)</f>
        <v>24</v>
      </c>
      <c r="U432" s="378">
        <f>VLOOKUP(Table2[[#This Row],[Course Title]],'TSD-Data'!$A$1:$F$70,5,FALSE)</f>
        <v>3</v>
      </c>
      <c r="V432" s="379">
        <v>174</v>
      </c>
      <c r="W432" s="377"/>
      <c r="X432" s="377"/>
      <c r="Y432" s="378"/>
      <c r="Z432" s="378"/>
      <c r="AA432" s="370"/>
      <c r="AB432" s="370"/>
      <c r="AC432" s="370"/>
      <c r="AD432" s="370"/>
      <c r="AE432" s="378">
        <f ca="1">Table2[[#This Row],[End Date]]+2-TODAY()</f>
        <v>424</v>
      </c>
      <c r="AF432" s="370">
        <f>IF(ISBLANK(Table2[[#This Row],[Roster Received by]]),1,0)</f>
        <v>1</v>
      </c>
      <c r="AG432" s="377">
        <f ca="1">IF(Table2[[#This Row],[Start Date]]&gt;TODAY(),1,)</f>
        <v>1</v>
      </c>
      <c r="AH432" s="377">
        <f>IF(ISBLANK(Table2[[#This Row],[Primary Instructor]]),0,1)</f>
        <v>1</v>
      </c>
      <c r="AI432" s="377">
        <f>IF(ISBLANK(Table2[[#This Row],[Instructor 2]]),0,1)</f>
        <v>0</v>
      </c>
      <c r="AJ432" s="377">
        <f>Table2[[#This Row],[Course Length (Hours)]]/(SUM(Table2[[#This Row],[1]:[2]]))</f>
        <v>24</v>
      </c>
      <c r="AK432" s="370"/>
      <c r="AL432" s="400">
        <v>4</v>
      </c>
      <c r="AM432" s="403" t="str">
        <f>VLOOKUP(Table2[[#This Row],[Course Title]],'TSD-Data'!$A$1:$G$70,7,FALSE)</f>
        <v>N3</v>
      </c>
    </row>
    <row r="433" spans="1:39" s="380" customFormat="1" x14ac:dyDescent="0.25">
      <c r="A433" s="368"/>
      <c r="B433" s="435" t="s">
        <v>50</v>
      </c>
      <c r="C433" s="370" t="str">
        <f>VLOOKUP(Table2[[#This Row],[Course Title]],'TSD-Data'!$A$1:$E$70,2,FALSE)</f>
        <v>A-493-0331</v>
      </c>
      <c r="D433" s="370" t="str">
        <f>VLOOKUP(Table2[[#This Row],[Course Title]],'TSD-Data'!$A$1:$E$70,3,FALSE)</f>
        <v>10UG</v>
      </c>
      <c r="E433" s="369" t="s">
        <v>86</v>
      </c>
      <c r="F433" s="371">
        <v>46238</v>
      </c>
      <c r="G433" s="371">
        <v>46240</v>
      </c>
      <c r="H433" s="371" t="s">
        <v>752</v>
      </c>
      <c r="I433" s="372"/>
      <c r="J433" s="372">
        <v>0.5</v>
      </c>
      <c r="K433" s="381">
        <v>0.375</v>
      </c>
      <c r="L433" s="381">
        <v>0.79166666666666663</v>
      </c>
      <c r="M433" s="381">
        <v>0.75</v>
      </c>
      <c r="N433" s="381">
        <v>0.25</v>
      </c>
      <c r="O433" s="381">
        <v>4.1666666666666664E-2</v>
      </c>
      <c r="P433" s="375" t="s">
        <v>233</v>
      </c>
      <c r="Q433" s="375"/>
      <c r="R433" s="376"/>
      <c r="S433" s="370">
        <f>VLOOKUP(Table2[[#This Row],[Course Title]],'TSD-Data'!$A$1:$E$70,4,FALSE)</f>
        <v>45</v>
      </c>
      <c r="T433" s="377">
        <f>VLOOKUP(Table2[[#This Row],[Course Title]],'TSD-Data'!$A$1:$F$70,6,FALSE)</f>
        <v>24</v>
      </c>
      <c r="U433" s="378">
        <f>VLOOKUP(Table2[[#This Row],[Course Title]],'TSD-Data'!$A$1:$F$70,5,FALSE)</f>
        <v>3</v>
      </c>
      <c r="V433" s="379">
        <v>844</v>
      </c>
      <c r="W433" s="377"/>
      <c r="X433" s="377"/>
      <c r="Y433" s="378"/>
      <c r="Z433" s="378"/>
      <c r="AA433" s="370"/>
      <c r="AB433" s="370"/>
      <c r="AC433" s="370"/>
      <c r="AD433" s="370"/>
      <c r="AE433" s="378">
        <f ca="1">Table2[[#This Row],[End Date]]+2-TODAY()</f>
        <v>424</v>
      </c>
      <c r="AF433" s="370">
        <f>IF(ISBLANK(Table2[[#This Row],[Roster Received by]]),1,0)</f>
        <v>1</v>
      </c>
      <c r="AG433" s="377">
        <f ca="1">IF(Table2[[#This Row],[Start Date]]&gt;TODAY(),1,)</f>
        <v>1</v>
      </c>
      <c r="AH433" s="377">
        <f>IF(ISBLANK(Table2[[#This Row],[Primary Instructor]]),0,1)</f>
        <v>1</v>
      </c>
      <c r="AI433" s="377">
        <f>IF(ISBLANK(Table2[[#This Row],[Instructor 2]]),0,1)</f>
        <v>0</v>
      </c>
      <c r="AJ433" s="377">
        <f>Table2[[#This Row],[Course Length (Hours)]]/(SUM(Table2[[#This Row],[1]:[2]]))</f>
        <v>24</v>
      </c>
      <c r="AK433" s="370"/>
      <c r="AL433" s="400">
        <v>4</v>
      </c>
      <c r="AM433" s="403" t="str">
        <f>VLOOKUP(Table2[[#This Row],[Course Title]],'TSD-Data'!$A$1:$G$70,7,FALSE)</f>
        <v>N3</v>
      </c>
    </row>
    <row r="434" spans="1:39" s="380" customFormat="1" x14ac:dyDescent="0.25">
      <c r="A434" s="413"/>
      <c r="B434" s="414" t="s">
        <v>35</v>
      </c>
      <c r="C434" s="370" t="str">
        <f>VLOOKUP(Table2[[#This Row],[Course Title]],'TSD-Data'!$A$1:$E$70,2,FALSE)</f>
        <v>A-493-2501</v>
      </c>
      <c r="D434" s="370" t="str">
        <f>VLOOKUP(Table2[[#This Row],[Course Title]],'TSD-Data'!$A$1:$E$70,3,FALSE)</f>
        <v>05ZE</v>
      </c>
      <c r="E434" s="414" t="s">
        <v>364</v>
      </c>
      <c r="F434" s="416">
        <v>46238</v>
      </c>
      <c r="G434" s="416">
        <v>46238</v>
      </c>
      <c r="H434" s="426" t="s">
        <v>753</v>
      </c>
      <c r="I434" s="417">
        <v>0.33333333333333331</v>
      </c>
      <c r="J434" s="417"/>
      <c r="K434" s="416"/>
      <c r="L434" s="416"/>
      <c r="M434" s="416"/>
      <c r="N434" s="416"/>
      <c r="O434" s="416"/>
      <c r="P434" s="418" t="s">
        <v>241</v>
      </c>
      <c r="Q434" s="418"/>
      <c r="R434" s="376"/>
      <c r="S434" s="370">
        <f>VLOOKUP(Table2[[#This Row],[Course Title]],'TSD-Data'!$A$1:$E$70,4,FALSE)</f>
        <v>30</v>
      </c>
      <c r="T434" s="377">
        <f>VLOOKUP(Table2[[#This Row],[Course Title]],'TSD-Data'!$A$1:$F$70,6,FALSE)</f>
        <v>8</v>
      </c>
      <c r="U434" s="378">
        <f>VLOOKUP(Table2[[#This Row],[Course Title]],'TSD-Data'!$A$1:$F$70,5,FALSE)</f>
        <v>1</v>
      </c>
      <c r="V434" s="379">
        <v>32</v>
      </c>
      <c r="W434" s="377"/>
      <c r="X434" s="377"/>
      <c r="Y434" s="420"/>
      <c r="Z434" s="420"/>
      <c r="AA434" s="415"/>
      <c r="AB434" s="415"/>
      <c r="AC434" s="421"/>
      <c r="AD434" s="421"/>
      <c r="AE434" s="420">
        <v>433</v>
      </c>
      <c r="AF434" s="415">
        <v>1</v>
      </c>
      <c r="AG434" s="403">
        <v>1</v>
      </c>
      <c r="AH434" s="403">
        <v>1</v>
      </c>
      <c r="AI434" s="403">
        <v>0</v>
      </c>
      <c r="AJ434" s="403">
        <v>8</v>
      </c>
      <c r="AK434" s="415"/>
      <c r="AL434" s="400">
        <v>4</v>
      </c>
      <c r="AM434" s="403" t="str">
        <f>VLOOKUP(Table2[[#This Row],[Course Title]],'TSD-Data'!$A$1:$G$70,7,FALSE)</f>
        <v>N4</v>
      </c>
    </row>
    <row r="435" spans="1:39" s="380" customFormat="1" x14ac:dyDescent="0.25">
      <c r="A435" s="413"/>
      <c r="B435" s="369" t="s">
        <v>31</v>
      </c>
      <c r="C435" s="370" t="str">
        <f>VLOOKUP(Table2[[#This Row],[Course Title]],'TSD-Data'!$A$1:$E$70,2,FALSE)</f>
        <v>A-493-0083</v>
      </c>
      <c r="D435" s="370" t="str">
        <f>VLOOKUP(Table2[[#This Row],[Course Title]],'TSD-Data'!$A$1:$E$70,3,FALSE)</f>
        <v>339E</v>
      </c>
      <c r="E435" s="414" t="s">
        <v>179</v>
      </c>
      <c r="F435" s="416">
        <v>46240</v>
      </c>
      <c r="G435" s="416">
        <v>46240</v>
      </c>
      <c r="H435" s="426" t="s">
        <v>753</v>
      </c>
      <c r="I435" s="417">
        <v>0.33333333333333331</v>
      </c>
      <c r="J435" s="417"/>
      <c r="K435" s="416"/>
      <c r="L435" s="416"/>
      <c r="M435" s="416"/>
      <c r="N435" s="416"/>
      <c r="O435" s="416"/>
      <c r="P435" s="418" t="s">
        <v>241</v>
      </c>
      <c r="Q435" s="418"/>
      <c r="R435" s="376"/>
      <c r="S435" s="370">
        <f>VLOOKUP(Table2[[#This Row],[Course Title]],'TSD-Data'!$A$1:$E$70,4,FALSE)</f>
        <v>30</v>
      </c>
      <c r="T435" s="377">
        <f>VLOOKUP(Table2[[#This Row],[Course Title]],'TSD-Data'!$A$1:$F$70,6,FALSE)</f>
        <v>8</v>
      </c>
      <c r="U435" s="378">
        <f>VLOOKUP(Table2[[#This Row],[Course Title]],'TSD-Data'!$A$1:$F$70,5,FALSE)</f>
        <v>1</v>
      </c>
      <c r="V435" s="379">
        <v>48</v>
      </c>
      <c r="W435" s="377"/>
      <c r="X435" s="377"/>
      <c r="Y435" s="420"/>
      <c r="Z435" s="420"/>
      <c r="AA435" s="415"/>
      <c r="AB435" s="415"/>
      <c r="AC435" s="421"/>
      <c r="AD435" s="421"/>
      <c r="AE435" s="420">
        <v>435</v>
      </c>
      <c r="AF435" s="415">
        <v>1</v>
      </c>
      <c r="AG435" s="403">
        <v>1</v>
      </c>
      <c r="AH435" s="403">
        <v>1</v>
      </c>
      <c r="AI435" s="403">
        <v>0</v>
      </c>
      <c r="AJ435" s="403">
        <v>8</v>
      </c>
      <c r="AK435" s="415"/>
      <c r="AL435" s="400">
        <v>4</v>
      </c>
      <c r="AM435" s="403" t="str">
        <f>VLOOKUP(Table2[[#This Row],[Course Title]],'TSD-Data'!$A$1:$G$70,7,FALSE)</f>
        <v>N4</v>
      </c>
    </row>
    <row r="436" spans="1:39" s="380" customFormat="1" x14ac:dyDescent="0.25">
      <c r="A436" s="413" t="s">
        <v>291</v>
      </c>
      <c r="B436" s="414" t="s">
        <v>35</v>
      </c>
      <c r="C436" s="370" t="str">
        <f>VLOOKUP(Table2[[#This Row],[Course Title]],'TSD-Data'!$A$1:$E$70,2,FALSE)</f>
        <v>A-493-2501</v>
      </c>
      <c r="D436" s="370" t="str">
        <f>VLOOKUP(Table2[[#This Row],[Course Title]],'TSD-Data'!$A$1:$E$70,3,FALSE)</f>
        <v>05ZE</v>
      </c>
      <c r="E436" s="414" t="s">
        <v>357</v>
      </c>
      <c r="F436" s="416">
        <v>46240</v>
      </c>
      <c r="G436" s="416">
        <v>46240</v>
      </c>
      <c r="H436" s="426" t="s">
        <v>753</v>
      </c>
      <c r="I436" s="417">
        <v>0.33333333333333331</v>
      </c>
      <c r="J436" s="417"/>
      <c r="K436" s="416"/>
      <c r="L436" s="416"/>
      <c r="M436" s="416"/>
      <c r="N436" s="416"/>
      <c r="O436" s="416"/>
      <c r="P436" s="418" t="s">
        <v>241</v>
      </c>
      <c r="Q436" s="418"/>
      <c r="R436" s="376"/>
      <c r="S436" s="370">
        <f>VLOOKUP(Table2[[#This Row],[Course Title]],'TSD-Data'!$A$1:$E$70,4,FALSE)</f>
        <v>30</v>
      </c>
      <c r="T436" s="377">
        <f>VLOOKUP(Table2[[#This Row],[Course Title]],'TSD-Data'!$A$1:$F$70,6,FALSE)</f>
        <v>8</v>
      </c>
      <c r="U436" s="378">
        <f>VLOOKUP(Table2[[#This Row],[Course Title]],'TSD-Data'!$A$1:$F$70,5,FALSE)</f>
        <v>1</v>
      </c>
      <c r="V436" s="379">
        <v>30</v>
      </c>
      <c r="W436" s="377"/>
      <c r="X436" s="377"/>
      <c r="Y436" s="420"/>
      <c r="Z436" s="420"/>
      <c r="AA436" s="415"/>
      <c r="AB436" s="415"/>
      <c r="AC436" s="421"/>
      <c r="AD436" s="421"/>
      <c r="AE436" s="420">
        <v>435</v>
      </c>
      <c r="AF436" s="415">
        <v>1</v>
      </c>
      <c r="AG436" s="403">
        <v>1</v>
      </c>
      <c r="AH436" s="403">
        <v>1</v>
      </c>
      <c r="AI436" s="403">
        <v>0</v>
      </c>
      <c r="AJ436" s="403">
        <v>8</v>
      </c>
      <c r="AK436" s="415"/>
      <c r="AL436" s="400">
        <v>4</v>
      </c>
      <c r="AM436" s="403" t="str">
        <f>VLOOKUP(Table2[[#This Row],[Course Title]],'TSD-Data'!$A$1:$G$70,7,FALSE)</f>
        <v>N4</v>
      </c>
    </row>
    <row r="437" spans="1:39" s="380" customFormat="1" x14ac:dyDescent="0.25">
      <c r="A437" s="368"/>
      <c r="B437" s="436" t="s">
        <v>46</v>
      </c>
      <c r="C437" s="370" t="str">
        <f>VLOOKUP(Table2[[#This Row],[Course Title]],'TSD-Data'!$A$1:$E$70,2,FALSE)</f>
        <v>A-493-0070</v>
      </c>
      <c r="D437" s="370" t="str">
        <f>VLOOKUP(Table2[[#This Row],[Course Title]],'TSD-Data'!$A$1:$E$70,3,FALSE)</f>
        <v>450V</v>
      </c>
      <c r="E437" s="369" t="s">
        <v>86</v>
      </c>
      <c r="F437" s="391">
        <v>46244</v>
      </c>
      <c r="G437" s="391">
        <v>46245</v>
      </c>
      <c r="H437" s="371" t="s">
        <v>752</v>
      </c>
      <c r="I437" s="392"/>
      <c r="J437" s="372">
        <v>0.33333333333333331</v>
      </c>
      <c r="K437" s="372">
        <v>0.20833333333333334</v>
      </c>
      <c r="L437" s="372">
        <v>0.625</v>
      </c>
      <c r="M437" s="372">
        <v>0.54166666666666663</v>
      </c>
      <c r="N437" s="372">
        <v>8.3333333333333329E-2</v>
      </c>
      <c r="O437" s="372">
        <v>0.875</v>
      </c>
      <c r="P437" s="375" t="s">
        <v>297</v>
      </c>
      <c r="Q437" s="375"/>
      <c r="R437" s="376"/>
      <c r="S437" s="370">
        <f>VLOOKUP(Table2[[#This Row],[Course Title]],'TSD-Data'!$A$1:$E$70,4,FALSE)</f>
        <v>30</v>
      </c>
      <c r="T437" s="377">
        <f>VLOOKUP(Table2[[#This Row],[Course Title]],'TSD-Data'!$A$1:$F$70,6,FALSE)</f>
        <v>8</v>
      </c>
      <c r="U437" s="378">
        <f>VLOOKUP(Table2[[#This Row],[Course Title]],'TSD-Data'!$A$1:$F$70,5,FALSE)</f>
        <v>1</v>
      </c>
      <c r="V437" s="379">
        <v>0</v>
      </c>
      <c r="W437" s="377"/>
      <c r="X437" s="377"/>
      <c r="Y437" s="378"/>
      <c r="Z437" s="378"/>
      <c r="AA437" s="370"/>
      <c r="AB437" s="370"/>
      <c r="AC437" s="370"/>
      <c r="AD437" s="370"/>
      <c r="AE437" s="378">
        <f ca="1">Table2[[#This Row],[End Date]]+2-TODAY()</f>
        <v>429</v>
      </c>
      <c r="AF437" s="370">
        <f>IF(ISBLANK(Table2[[#This Row],[Roster Received by]]),1,0)</f>
        <v>1</v>
      </c>
      <c r="AG437" s="377">
        <f ca="1">IF(Table2[[#This Row],[Start Date]]&gt;TODAY(),1,)</f>
        <v>1</v>
      </c>
      <c r="AH437" s="377">
        <f>IF(ISBLANK(Table2[[#This Row],[Primary Instructor]]),0,1)</f>
        <v>1</v>
      </c>
      <c r="AI437" s="377">
        <f>IF(ISBLANK(Table2[[#This Row],[Instructor 2]]),0,1)</f>
        <v>0</v>
      </c>
      <c r="AJ437" s="377">
        <f>Table2[[#This Row],[Course Length (Hours)]]/(SUM(Table2[[#This Row],[1]:[2]]))</f>
        <v>8</v>
      </c>
      <c r="AK437" s="370"/>
      <c r="AL437" s="400">
        <v>4</v>
      </c>
      <c r="AM437" s="403" t="str">
        <f>VLOOKUP(Table2[[#This Row],[Course Title]],'TSD-Data'!$A$1:$G$70,7,FALSE)</f>
        <v>N3</v>
      </c>
    </row>
    <row r="438" spans="1:39" s="380" customFormat="1" x14ac:dyDescent="0.25">
      <c r="A438" s="368"/>
      <c r="B438" s="432" t="s">
        <v>55</v>
      </c>
      <c r="C438" s="370" t="str">
        <f>VLOOKUP(Table2[[#This Row],[Course Title]],'TSD-Data'!$A$1:$E$70,2,FALSE)</f>
        <v>A-493-0103</v>
      </c>
      <c r="D438" s="370" t="str">
        <f>VLOOKUP(Table2[[#This Row],[Course Title]],'TSD-Data'!$A$1:$E$70,3,FALSE)</f>
        <v>12JY</v>
      </c>
      <c r="E438" s="369" t="s">
        <v>157</v>
      </c>
      <c r="F438" s="371">
        <v>46244</v>
      </c>
      <c r="G438" s="371">
        <v>46248</v>
      </c>
      <c r="H438" s="371" t="s">
        <v>752</v>
      </c>
      <c r="I438" s="372">
        <v>0.33333333333333331</v>
      </c>
      <c r="J438" s="372"/>
      <c r="K438" s="371"/>
      <c r="L438" s="371"/>
      <c r="M438" s="371"/>
      <c r="N438" s="371"/>
      <c r="O438" s="371"/>
      <c r="P438" s="375" t="s">
        <v>289</v>
      </c>
      <c r="Q438" s="375"/>
      <c r="R438" s="376"/>
      <c r="S438" s="370">
        <f>VLOOKUP(Table2[[#This Row],[Course Title]],'TSD-Data'!$A$1:$E$70,4,FALSE)</f>
        <v>25</v>
      </c>
      <c r="T438" s="377">
        <f>VLOOKUP(Table2[[#This Row],[Course Title]],'TSD-Data'!$A$1:$F$70,6,FALSE)</f>
        <v>40</v>
      </c>
      <c r="U438" s="378">
        <f>VLOOKUP(Table2[[#This Row],[Course Title]],'TSD-Data'!$A$1:$F$70,5,FALSE)</f>
        <v>5</v>
      </c>
      <c r="V438" s="379">
        <v>90</v>
      </c>
      <c r="W438" s="377"/>
      <c r="X438" s="377"/>
      <c r="Y438" s="378"/>
      <c r="Z438" s="378"/>
      <c r="AA438" s="370"/>
      <c r="AB438" s="370"/>
      <c r="AC438" s="370"/>
      <c r="AD438" s="370"/>
      <c r="AE438" s="378">
        <f ca="1">Table2[[#This Row],[End Date]]+2-TODAY()</f>
        <v>432</v>
      </c>
      <c r="AF438" s="370">
        <f>IF(ISBLANK(Table2[[#This Row],[Roster Received by]]),1,0)</f>
        <v>1</v>
      </c>
      <c r="AG438" s="377">
        <f ca="1">IF(Table2[[#This Row],[Start Date]]&gt;TODAY(),1,)</f>
        <v>1</v>
      </c>
      <c r="AH438" s="377">
        <f>IF(ISBLANK(Table2[[#This Row],[Primary Instructor]]),0,1)</f>
        <v>1</v>
      </c>
      <c r="AI438" s="377">
        <f>IF(ISBLANK(Table2[[#This Row],[Instructor 2]]),0,1)</f>
        <v>0</v>
      </c>
      <c r="AJ438" s="377">
        <f>Table2[[#This Row],[Course Length (Hours)]]/(SUM(Table2[[#This Row],[1]:[2]]))</f>
        <v>40</v>
      </c>
      <c r="AK438" s="370"/>
      <c r="AL438" s="400">
        <v>4</v>
      </c>
      <c r="AM438" s="403" t="str">
        <f>VLOOKUP(Table2[[#This Row],[Course Title]],'TSD-Data'!$A$1:$G$70,7,FALSE)</f>
        <v>N5</v>
      </c>
    </row>
    <row r="439" spans="1:39" s="380" customFormat="1" x14ac:dyDescent="0.25">
      <c r="A439" s="368"/>
      <c r="B439" s="432" t="s">
        <v>55</v>
      </c>
      <c r="C439" s="370" t="str">
        <f>VLOOKUP(Table2[[#This Row],[Course Title]],'TSD-Data'!$A$1:$E$70,2,FALSE)</f>
        <v>A-493-0103</v>
      </c>
      <c r="D439" s="370" t="str">
        <f>VLOOKUP(Table2[[#This Row],[Course Title]],'TSD-Data'!$A$1:$E$70,3,FALSE)</f>
        <v>12JY</v>
      </c>
      <c r="E439" s="369" t="s">
        <v>174</v>
      </c>
      <c r="F439" s="371">
        <v>46244</v>
      </c>
      <c r="G439" s="371">
        <v>46248</v>
      </c>
      <c r="H439" s="371" t="s">
        <v>752</v>
      </c>
      <c r="I439" s="372">
        <v>0.33333333333333331</v>
      </c>
      <c r="J439" s="372"/>
      <c r="K439" s="437"/>
      <c r="L439" s="371"/>
      <c r="M439" s="371"/>
      <c r="N439" s="371"/>
      <c r="O439" s="371"/>
      <c r="P439" s="375" t="s">
        <v>289</v>
      </c>
      <c r="Q439" s="375"/>
      <c r="R439" s="376"/>
      <c r="S439" s="370">
        <f>VLOOKUP(Table2[[#This Row],[Course Title]],'TSD-Data'!$A$1:$E$70,4,FALSE)</f>
        <v>25</v>
      </c>
      <c r="T439" s="377">
        <f>VLOOKUP(Table2[[#This Row],[Course Title]],'TSD-Data'!$A$1:$F$70,6,FALSE)</f>
        <v>40</v>
      </c>
      <c r="U439" s="378">
        <f>VLOOKUP(Table2[[#This Row],[Course Title]],'TSD-Data'!$A$1:$F$70,5,FALSE)</f>
        <v>5</v>
      </c>
      <c r="V439" s="379">
        <v>84</v>
      </c>
      <c r="W439" s="377"/>
      <c r="X439" s="377"/>
      <c r="Y439" s="378"/>
      <c r="Z439" s="378"/>
      <c r="AA439" s="370"/>
      <c r="AB439" s="370"/>
      <c r="AC439" s="370"/>
      <c r="AD439" s="370"/>
      <c r="AE439" s="378">
        <f ca="1">Table2[[#This Row],[End Date]]+2-TODAY()</f>
        <v>432</v>
      </c>
      <c r="AF439" s="370">
        <f>IF(ISBLANK(Table2[[#This Row],[Roster Received by]]),1,0)</f>
        <v>1</v>
      </c>
      <c r="AG439" s="377">
        <f ca="1">IF(Table2[[#This Row],[Start Date]]&gt;TODAY(),1,)</f>
        <v>1</v>
      </c>
      <c r="AH439" s="377">
        <f>IF(ISBLANK(Table2[[#This Row],[Primary Instructor]]),0,1)</f>
        <v>1</v>
      </c>
      <c r="AI439" s="377">
        <f>IF(ISBLANK(Table2[[#This Row],[Instructor 2]]),0,1)</f>
        <v>0</v>
      </c>
      <c r="AJ439" s="377">
        <f>Table2[[#This Row],[Course Length (Hours)]]/(SUM(Table2[[#This Row],[1]:[2]]))</f>
        <v>40</v>
      </c>
      <c r="AK439" s="370"/>
      <c r="AL439" s="400">
        <v>4</v>
      </c>
      <c r="AM439" s="403" t="str">
        <f>VLOOKUP(Table2[[#This Row],[Course Title]],'TSD-Data'!$A$1:$G$70,7,FALSE)</f>
        <v>N5</v>
      </c>
    </row>
    <row r="440" spans="1:39" s="380" customFormat="1" x14ac:dyDescent="0.25">
      <c r="A440" s="368"/>
      <c r="B440" s="432" t="s">
        <v>47</v>
      </c>
      <c r="C440" s="370" t="str">
        <f>VLOOKUP(Table2[[#This Row],[Course Title]],'TSD-Data'!$A$1:$E$70,2,FALSE)</f>
        <v>A-493-0030</v>
      </c>
      <c r="D440" s="370" t="str">
        <f>VLOOKUP(Table2[[#This Row],[Course Title]],'TSD-Data'!$A$1:$E$70,3,FALSE)</f>
        <v>286X</v>
      </c>
      <c r="E440" s="369" t="s">
        <v>176</v>
      </c>
      <c r="F440" s="371">
        <v>46244</v>
      </c>
      <c r="G440" s="371">
        <v>46248</v>
      </c>
      <c r="H440" s="371" t="s">
        <v>752</v>
      </c>
      <c r="I440" s="372">
        <v>0.33333333333333331</v>
      </c>
      <c r="J440" s="392"/>
      <c r="K440" s="371"/>
      <c r="L440" s="371"/>
      <c r="M440" s="371"/>
      <c r="N440" s="371"/>
      <c r="O440" s="371"/>
      <c r="P440" s="375" t="s">
        <v>304</v>
      </c>
      <c r="Q440" s="375"/>
      <c r="R440" s="376"/>
      <c r="S440" s="370">
        <f>VLOOKUP(Table2[[#This Row],[Course Title]],'TSD-Data'!$A$1:$E$70,4,FALSE)</f>
        <v>25</v>
      </c>
      <c r="T440" s="377">
        <f>VLOOKUP(Table2[[#This Row],[Course Title]],'TSD-Data'!$A$1:$F$70,6,FALSE)</f>
        <v>40</v>
      </c>
      <c r="U440" s="378">
        <f>VLOOKUP(Table2[[#This Row],[Course Title]],'TSD-Data'!$A$1:$F$70,5,FALSE)</f>
        <v>5</v>
      </c>
      <c r="V440" s="379">
        <v>85</v>
      </c>
      <c r="W440" s="377"/>
      <c r="X440" s="377"/>
      <c r="Y440" s="378"/>
      <c r="Z440" s="378"/>
      <c r="AA440" s="370"/>
      <c r="AB440" s="370"/>
      <c r="AC440" s="370"/>
      <c r="AD440" s="370"/>
      <c r="AE440" s="378">
        <f ca="1">Table2[[#This Row],[End Date]]+2-TODAY()</f>
        <v>432</v>
      </c>
      <c r="AF440" s="370">
        <f>IF(ISBLANK(Table2[[#This Row],[Roster Received by]]),1,0)</f>
        <v>1</v>
      </c>
      <c r="AG440" s="377">
        <f ca="1">IF(Table2[[#This Row],[Start Date]]&gt;TODAY(),1,)</f>
        <v>1</v>
      </c>
      <c r="AH440" s="377">
        <f>IF(ISBLANK(Table2[[#This Row],[Primary Instructor]]),0,1)</f>
        <v>1</v>
      </c>
      <c r="AI440" s="377">
        <f>IF(ISBLANK(Table2[[#This Row],[Instructor 2]]),0,1)</f>
        <v>0</v>
      </c>
      <c r="AJ440" s="377">
        <f>Table2[[#This Row],[Course Length (Hours)]]/(SUM(Table2[[#This Row],[1]:[2]]))</f>
        <v>40</v>
      </c>
      <c r="AK440" s="370"/>
      <c r="AL440" s="400">
        <v>4</v>
      </c>
      <c r="AM440" s="403" t="str">
        <f>VLOOKUP(Table2[[#This Row],[Course Title]],'TSD-Data'!$A$1:$G$70,7,FALSE)</f>
        <v>N3</v>
      </c>
    </row>
    <row r="441" spans="1:39" s="380" customFormat="1" x14ac:dyDescent="0.25">
      <c r="A441" s="429" t="s">
        <v>725</v>
      </c>
      <c r="B441" s="401" t="s">
        <v>17</v>
      </c>
      <c r="C441" s="370" t="str">
        <f>VLOOKUP(Table2[[#This Row],[Course Title]],'TSD-Data'!$A$1:$E$70,2,FALSE)</f>
        <v>A-493-0012</v>
      </c>
      <c r="D441" s="370">
        <f>VLOOKUP(Table2[[#This Row],[Course Title]],'TSD-Data'!$A$1:$E$70,3,FALSE)</f>
        <v>3682</v>
      </c>
      <c r="E441" s="401" t="s">
        <v>357</v>
      </c>
      <c r="F441" s="426">
        <v>46244</v>
      </c>
      <c r="G441" s="426">
        <v>46248</v>
      </c>
      <c r="H441" s="426" t="s">
        <v>753</v>
      </c>
      <c r="I441" s="372">
        <v>0.33333333333333331</v>
      </c>
      <c r="J441" s="372"/>
      <c r="K441" s="371"/>
      <c r="L441" s="371"/>
      <c r="M441" s="371"/>
      <c r="N441" s="371"/>
      <c r="O441" s="371"/>
      <c r="P441" s="375" t="s">
        <v>241</v>
      </c>
      <c r="Q441" s="375"/>
      <c r="R441" s="376"/>
      <c r="S441" s="370">
        <f>VLOOKUP(Table2[[#This Row],[Course Title]],'TSD-Data'!$A$1:$E$70,4,FALSE)</f>
        <v>40</v>
      </c>
      <c r="T441" s="377">
        <f>VLOOKUP(Table2[[#This Row],[Course Title]],'TSD-Data'!$A$1:$F$70,6,FALSE)</f>
        <v>40</v>
      </c>
      <c r="U441" s="378">
        <f>VLOOKUP(Table2[[#This Row],[Course Title]],'TSD-Data'!$A$1:$F$70,5,FALSE)</f>
        <v>5</v>
      </c>
      <c r="V441" s="377">
        <v>30</v>
      </c>
      <c r="W441" s="377"/>
      <c r="X441" s="377"/>
      <c r="Y441" s="378"/>
      <c r="Z441" s="378"/>
      <c r="AA441" s="370"/>
      <c r="AB441" s="370"/>
      <c r="AC441" s="370"/>
      <c r="AD441" s="370"/>
      <c r="AE441" s="378" t="e">
        <v>#REF!</v>
      </c>
      <c r="AF441" s="370">
        <v>0</v>
      </c>
      <c r="AG441" s="377" t="e">
        <v>#REF!</v>
      </c>
      <c r="AH441" s="377">
        <v>1</v>
      </c>
      <c r="AI441" s="377">
        <v>1</v>
      </c>
      <c r="AJ441" s="377" t="e">
        <v>#VALUE!</v>
      </c>
      <c r="AK441" s="370"/>
      <c r="AL441" s="400">
        <v>4</v>
      </c>
      <c r="AM441" s="403" t="str">
        <f>VLOOKUP(Table2[[#This Row],[Course Title]],'TSD-Data'!$A$1:$G$70,7,FALSE)</f>
        <v>N4</v>
      </c>
    </row>
    <row r="442" spans="1:39" s="380" customFormat="1" x14ac:dyDescent="0.25">
      <c r="A442" s="368"/>
      <c r="B442" s="369" t="s">
        <v>38</v>
      </c>
      <c r="C442" s="370" t="str">
        <f>VLOOKUP(Table2[[#This Row],[Course Title]],'TSD-Data'!$A$1:$E$70,2,FALSE)</f>
        <v>A-493-0061</v>
      </c>
      <c r="D442" s="370" t="str">
        <f>VLOOKUP(Table2[[#This Row],[Course Title]],'TSD-Data'!$A$1:$E$70,3,FALSE)</f>
        <v>288E</v>
      </c>
      <c r="E442" s="369" t="s">
        <v>86</v>
      </c>
      <c r="F442" s="371">
        <v>46244</v>
      </c>
      <c r="G442" s="371">
        <v>46247</v>
      </c>
      <c r="H442" s="371" t="s">
        <v>752</v>
      </c>
      <c r="I442" s="372"/>
      <c r="J442" s="372">
        <v>0.33333333333333331</v>
      </c>
      <c r="K442" s="372">
        <v>0.20833333333333334</v>
      </c>
      <c r="L442" s="372">
        <v>0.625</v>
      </c>
      <c r="M442" s="372">
        <v>0.54166666666666663</v>
      </c>
      <c r="N442" s="372">
        <v>8.3333333333333329E-2</v>
      </c>
      <c r="O442" s="372">
        <v>0.875</v>
      </c>
      <c r="P442" s="375" t="s">
        <v>274</v>
      </c>
      <c r="Q442" s="375"/>
      <c r="R442" s="376"/>
      <c r="S442" s="370">
        <f>VLOOKUP(Table2[[#This Row],[Course Title]],'TSD-Data'!$A$1:$E$70,4,FALSE)</f>
        <v>45</v>
      </c>
      <c r="T442" s="377">
        <f>VLOOKUP(Table2[[#This Row],[Course Title]],'TSD-Data'!$A$1:$F$70,6,FALSE)</f>
        <v>30</v>
      </c>
      <c r="U442" s="378">
        <f>VLOOKUP(Table2[[#This Row],[Course Title]],'TSD-Data'!$A$1:$F$70,5,FALSE)</f>
        <v>4</v>
      </c>
      <c r="V442" s="379">
        <v>366</v>
      </c>
      <c r="W442" s="377"/>
      <c r="X442" s="377"/>
      <c r="Y442" s="378"/>
      <c r="Z442" s="378"/>
      <c r="AA442" s="370"/>
      <c r="AB442" s="370"/>
      <c r="AC442" s="370"/>
      <c r="AD442" s="370"/>
      <c r="AE442" s="378">
        <f ca="1">Table2[[#This Row],[End Date]]+2-TODAY()</f>
        <v>431</v>
      </c>
      <c r="AF442" s="370">
        <f>IF(ISBLANK(Table2[[#This Row],[Roster Received by]]),1,0)</f>
        <v>1</v>
      </c>
      <c r="AG442" s="377">
        <f ca="1">IF(Table2[[#This Row],[Start Date]]&gt;TODAY(),1,)</f>
        <v>1</v>
      </c>
      <c r="AH442" s="377">
        <f>IF(ISBLANK(Table2[[#This Row],[Primary Instructor]]),0,1)</f>
        <v>1</v>
      </c>
      <c r="AI442" s="377">
        <f>IF(ISBLANK(Table2[[#This Row],[Instructor 2]]),0,1)</f>
        <v>0</v>
      </c>
      <c r="AJ442" s="377">
        <f>Table2[[#This Row],[Course Length (Hours)]]/(SUM(Table2[[#This Row],[1]:[2]]))</f>
        <v>30</v>
      </c>
      <c r="AK442" s="370"/>
      <c r="AL442" s="400">
        <v>4</v>
      </c>
      <c r="AM442" s="403" t="str">
        <f>VLOOKUP(Table2[[#This Row],[Course Title]],'TSD-Data'!$A$1:$G$70,7,FALSE)</f>
        <v>N5</v>
      </c>
    </row>
    <row r="443" spans="1:39" s="380" customFormat="1" x14ac:dyDescent="0.25">
      <c r="A443" s="368"/>
      <c r="B443" s="369" t="s">
        <v>61</v>
      </c>
      <c r="C443" s="370" t="str">
        <f>VLOOKUP(Table2[[#This Row],[Course Title]],'TSD-Data'!$A$1:$E$70,2,FALSE)</f>
        <v>A-493-0078</v>
      </c>
      <c r="D443" s="370">
        <f>VLOOKUP(Table2[[#This Row],[Course Title]],'TSD-Data'!$A$1:$E$70,3,FALSE)</f>
        <v>1228</v>
      </c>
      <c r="E443" s="369" t="s">
        <v>86</v>
      </c>
      <c r="F443" s="371">
        <v>46244</v>
      </c>
      <c r="G443" s="371">
        <v>46248</v>
      </c>
      <c r="H443" s="371" t="s">
        <v>752</v>
      </c>
      <c r="I443" s="372"/>
      <c r="J443" s="372">
        <v>0.33333333333333331</v>
      </c>
      <c r="K443" s="372">
        <v>0.20833333333333334</v>
      </c>
      <c r="L443" s="372">
        <v>0.625</v>
      </c>
      <c r="M443" s="372">
        <v>0.54166666666666663</v>
      </c>
      <c r="N443" s="372">
        <v>8.3333333333333329E-2</v>
      </c>
      <c r="O443" s="372">
        <v>0.875</v>
      </c>
      <c r="P443" s="375" t="s">
        <v>256</v>
      </c>
      <c r="Q443" s="375"/>
      <c r="R443" s="376"/>
      <c r="S443" s="370">
        <f>VLOOKUP(Table2[[#This Row],[Course Title]],'TSD-Data'!$A$1:$E$70,4,FALSE)</f>
        <v>45</v>
      </c>
      <c r="T443" s="377">
        <f>VLOOKUP(Table2[[#This Row],[Course Title]],'TSD-Data'!$A$1:$F$70,6,FALSE)</f>
        <v>32</v>
      </c>
      <c r="U443" s="378">
        <f>VLOOKUP(Table2[[#This Row],[Course Title]],'TSD-Data'!$A$1:$F$70,5,FALSE)</f>
        <v>4</v>
      </c>
      <c r="V443" s="379">
        <v>454</v>
      </c>
      <c r="W443" s="377"/>
      <c r="X443" s="377"/>
      <c r="Y443" s="378"/>
      <c r="Z443" s="378"/>
      <c r="AA443" s="370"/>
      <c r="AB443" s="370"/>
      <c r="AC443" s="370"/>
      <c r="AD443" s="370"/>
      <c r="AE443" s="378">
        <f ca="1">Table2[[#This Row],[End Date]]+2-TODAY()</f>
        <v>432</v>
      </c>
      <c r="AF443" s="370">
        <f>IF(ISBLANK(Table2[[#This Row],[Roster Received by]]),1,0)</f>
        <v>1</v>
      </c>
      <c r="AG443" s="377">
        <f ca="1">IF(Table2[[#This Row],[Start Date]]&gt;TODAY(),1,)</f>
        <v>1</v>
      </c>
      <c r="AH443" s="377">
        <f>IF(ISBLANK(Table2[[#This Row],[Primary Instructor]]),0,1)</f>
        <v>1</v>
      </c>
      <c r="AI443" s="377">
        <f>IF(ISBLANK(Table2[[#This Row],[Instructor 2]]),0,1)</f>
        <v>0</v>
      </c>
      <c r="AJ443" s="377">
        <f>Table2[[#This Row],[Course Length (Hours)]]/(SUM(Table2[[#This Row],[1]:[2]]))</f>
        <v>32</v>
      </c>
      <c r="AK443" s="370"/>
      <c r="AL443" s="400">
        <v>4</v>
      </c>
      <c r="AM443" s="403" t="str">
        <f>VLOOKUP(Table2[[#This Row],[Course Title]],'TSD-Data'!$A$1:$G$70,7,FALSE)</f>
        <v>N5</v>
      </c>
    </row>
    <row r="444" spans="1:39" s="380" customFormat="1" x14ac:dyDescent="0.25">
      <c r="A444" s="368"/>
      <c r="B444" s="369" t="s">
        <v>39</v>
      </c>
      <c r="C444" s="370" t="str">
        <f>VLOOKUP(Table2[[#This Row],[Course Title]],'TSD-Data'!$A$1:$E$70,2,FALSE)</f>
        <v>A-570-0100</v>
      </c>
      <c r="D444" s="370" t="str">
        <f>VLOOKUP(Table2[[#This Row],[Course Title]],'TSD-Data'!$A$1:$E$70,3,FALSE)</f>
        <v>18B7</v>
      </c>
      <c r="E444" s="369" t="s">
        <v>86</v>
      </c>
      <c r="F444" s="371">
        <v>46244</v>
      </c>
      <c r="G444" s="371">
        <v>46245</v>
      </c>
      <c r="H444" s="371" t="s">
        <v>752</v>
      </c>
      <c r="I444" s="372"/>
      <c r="J444" s="372">
        <v>0.79166666666666663</v>
      </c>
      <c r="K444" s="381">
        <v>0.66666666666666663</v>
      </c>
      <c r="L444" s="381">
        <v>8.3333333333333329E-2</v>
      </c>
      <c r="M444" s="381">
        <v>0</v>
      </c>
      <c r="N444" s="381">
        <v>0.54166666666666663</v>
      </c>
      <c r="O444" s="381">
        <v>0.33333333333333331</v>
      </c>
      <c r="P444" s="375" t="s">
        <v>252</v>
      </c>
      <c r="Q444" s="375"/>
      <c r="R444" s="376"/>
      <c r="S444" s="370">
        <f>VLOOKUP(Table2[[#This Row],[Course Title]],'TSD-Data'!$A$1:$E$70,4,FALSE)</f>
        <v>45</v>
      </c>
      <c r="T444" s="377">
        <f>VLOOKUP(Table2[[#This Row],[Course Title]],'TSD-Data'!$A$1:$F$70,6,FALSE)</f>
        <v>16</v>
      </c>
      <c r="U444" s="378">
        <f>VLOOKUP(Table2[[#This Row],[Course Title]],'TSD-Data'!$A$1:$F$70,5,FALSE)</f>
        <v>2</v>
      </c>
      <c r="V444" s="379">
        <v>126</v>
      </c>
      <c r="W444" s="377"/>
      <c r="X444" s="377"/>
      <c r="Y444" s="378"/>
      <c r="Z444" s="378"/>
      <c r="AA444" s="370"/>
      <c r="AB444" s="370"/>
      <c r="AC444" s="370"/>
      <c r="AD444" s="370"/>
      <c r="AE444" s="378">
        <f ca="1">Table2[[#This Row],[End Date]]+2-TODAY()</f>
        <v>429</v>
      </c>
      <c r="AF444" s="370">
        <f>IF(ISBLANK(Table2[[#This Row],[Roster Received by]]),1,0)</f>
        <v>1</v>
      </c>
      <c r="AG444" s="377">
        <f ca="1">IF(Table2[[#This Row],[Start Date]]&gt;TODAY(),1,)</f>
        <v>1</v>
      </c>
      <c r="AH444" s="377">
        <f>IF(ISBLANK(Table2[[#This Row],[Primary Instructor]]),0,1)</f>
        <v>1</v>
      </c>
      <c r="AI444" s="377">
        <f>IF(ISBLANK(Table2[[#This Row],[Instructor 2]]),0,1)</f>
        <v>0</v>
      </c>
      <c r="AJ444" s="377">
        <f>Table2[[#This Row],[Course Length (Hours)]]/(SUM(Table2[[#This Row],[1]:[2]]))</f>
        <v>16</v>
      </c>
      <c r="AK444" s="370"/>
      <c r="AL444" s="400">
        <v>4</v>
      </c>
      <c r="AM444" s="403" t="str">
        <f>VLOOKUP(Table2[[#This Row],[Course Title]],'TSD-Data'!$A$1:$G$70,7,FALSE)</f>
        <v>N5</v>
      </c>
    </row>
    <row r="445" spans="1:39" s="380" customFormat="1" x14ac:dyDescent="0.25">
      <c r="A445" s="368" t="s">
        <v>569</v>
      </c>
      <c r="B445" s="369" t="s">
        <v>53</v>
      </c>
      <c r="C445" s="370" t="str">
        <f>VLOOKUP(Table2[[#This Row],[Course Title]],'TSD-Data'!$A$1:$E$70,2,FALSE)</f>
        <v>A-493-0072</v>
      </c>
      <c r="D445" s="370" t="str">
        <f>VLOOKUP(Table2[[#This Row],[Course Title]],'TSD-Data'!$A$1:$E$70,3,FALSE)</f>
        <v>713U</v>
      </c>
      <c r="E445" s="369" t="s">
        <v>172</v>
      </c>
      <c r="F445" s="371">
        <v>46244</v>
      </c>
      <c r="G445" s="371">
        <v>46248</v>
      </c>
      <c r="H445" s="371" t="s">
        <v>752</v>
      </c>
      <c r="I445" s="372">
        <v>0.33333333333333331</v>
      </c>
      <c r="J445" s="372"/>
      <c r="K445" s="371"/>
      <c r="L445" s="371"/>
      <c r="M445" s="371"/>
      <c r="N445" s="371"/>
      <c r="O445" s="371"/>
      <c r="P445" s="375" t="s">
        <v>293</v>
      </c>
      <c r="Q445" s="375"/>
      <c r="R445" s="376" t="s">
        <v>248</v>
      </c>
      <c r="S445" s="370">
        <f>VLOOKUP(Table2[[#This Row],[Course Title]],'TSD-Data'!$A$1:$E$70,4,FALSE)</f>
        <v>30</v>
      </c>
      <c r="T445" s="377">
        <f>VLOOKUP(Table2[[#This Row],[Course Title]],'TSD-Data'!$A$1:$F$70,6,FALSE)</f>
        <v>40</v>
      </c>
      <c r="U445" s="378">
        <f>VLOOKUP(Table2[[#This Row],[Course Title]],'TSD-Data'!$A$1:$F$70,5,FALSE)</f>
        <v>5</v>
      </c>
      <c r="V445" s="379">
        <v>33</v>
      </c>
      <c r="W445" s="377"/>
      <c r="X445" s="377"/>
      <c r="Y445" s="378"/>
      <c r="Z445" s="378"/>
      <c r="AA445" s="370"/>
      <c r="AB445" s="370"/>
      <c r="AC445" s="370"/>
      <c r="AD445" s="370"/>
      <c r="AE445" s="378">
        <f ca="1">Table2[[#This Row],[End Date]]+2-TODAY()</f>
        <v>432</v>
      </c>
      <c r="AF445" s="370">
        <f>IF(ISBLANK(Table2[[#This Row],[Roster Received by]]),1,0)</f>
        <v>1</v>
      </c>
      <c r="AG445" s="377">
        <f ca="1">IF(Table2[[#This Row],[Start Date]]&gt;TODAY(),1,)</f>
        <v>1</v>
      </c>
      <c r="AH445" s="377">
        <f>IF(ISBLANK(Table2[[#This Row],[Primary Instructor]]),0,1)</f>
        <v>1</v>
      </c>
      <c r="AI445" s="377">
        <f>IF(ISBLANK(Table2[[#This Row],[Instructor 2]]),0,1)</f>
        <v>0</v>
      </c>
      <c r="AJ445" s="377">
        <f>Table2[[#This Row],[Course Length (Hours)]]/(SUM(Table2[[#This Row],[1]:[2]]))</f>
        <v>40</v>
      </c>
      <c r="AK445" s="370"/>
      <c r="AL445" s="400">
        <v>4</v>
      </c>
      <c r="AM445" s="403" t="str">
        <f>VLOOKUP(Table2[[#This Row],[Course Title]],'TSD-Data'!$A$1:$G$70,7,FALSE)</f>
        <v>N3</v>
      </c>
    </row>
    <row r="446" spans="1:39" s="380" customFormat="1" x14ac:dyDescent="0.25">
      <c r="A446" s="368"/>
      <c r="B446" s="436" t="s">
        <v>49</v>
      </c>
      <c r="C446" s="370" t="str">
        <f>VLOOKUP(Table2[[#This Row],[Course Title]],'TSD-Data'!$A$1:$E$70,2,FALSE)</f>
        <v>A-493-0092</v>
      </c>
      <c r="D446" s="370">
        <f>VLOOKUP(Table2[[#This Row],[Course Title]],'TSD-Data'!$A$1:$E$70,3,FALSE)</f>
        <v>5891</v>
      </c>
      <c r="E446" s="369" t="s">
        <v>169</v>
      </c>
      <c r="F446" s="371">
        <v>46245</v>
      </c>
      <c r="G446" s="371">
        <v>46247</v>
      </c>
      <c r="H446" s="371" t="s">
        <v>752</v>
      </c>
      <c r="I446" s="372">
        <v>0.33333333333333331</v>
      </c>
      <c r="J446" s="372"/>
      <c r="K446" s="371"/>
      <c r="L446" s="371"/>
      <c r="M446" s="371"/>
      <c r="N446" s="371"/>
      <c r="O446" s="371"/>
      <c r="P446" s="375" t="s">
        <v>292</v>
      </c>
      <c r="Q446" s="375"/>
      <c r="R446" s="376"/>
      <c r="S446" s="370">
        <f>VLOOKUP(Table2[[#This Row],[Course Title]],'TSD-Data'!$A$1:$E$70,4,FALSE)</f>
        <v>25</v>
      </c>
      <c r="T446" s="377">
        <f>VLOOKUP(Table2[[#This Row],[Course Title]],'TSD-Data'!$A$1:$F$70,6,FALSE)</f>
        <v>24</v>
      </c>
      <c r="U446" s="378">
        <f>VLOOKUP(Table2[[#This Row],[Course Title]],'TSD-Data'!$A$1:$F$70,5,FALSE)</f>
        <v>3</v>
      </c>
      <c r="V446" s="379">
        <v>138</v>
      </c>
      <c r="W446" s="377"/>
      <c r="X446" s="377"/>
      <c r="Y446" s="378"/>
      <c r="Z446" s="378"/>
      <c r="AA446" s="370"/>
      <c r="AB446" s="370"/>
      <c r="AC446" s="370"/>
      <c r="AD446" s="370"/>
      <c r="AE446" s="378">
        <f ca="1">Table2[[#This Row],[End Date]]+2-TODAY()</f>
        <v>431</v>
      </c>
      <c r="AF446" s="370">
        <f>IF(ISBLANK(Table2[[#This Row],[Roster Received by]]),1,0)</f>
        <v>1</v>
      </c>
      <c r="AG446" s="377">
        <f ca="1">IF(Table2[[#This Row],[Start Date]]&gt;TODAY(),1,)</f>
        <v>1</v>
      </c>
      <c r="AH446" s="377">
        <f>IF(ISBLANK(Table2[[#This Row],[Primary Instructor]]),0,1)</f>
        <v>1</v>
      </c>
      <c r="AI446" s="377">
        <f>IF(ISBLANK(Table2[[#This Row],[Instructor 2]]),0,1)</f>
        <v>0</v>
      </c>
      <c r="AJ446" s="377">
        <f>Table2[[#This Row],[Course Length (Hours)]]/(SUM(Table2[[#This Row],[1]:[2]]))</f>
        <v>24</v>
      </c>
      <c r="AK446" s="370"/>
      <c r="AL446" s="400">
        <v>4</v>
      </c>
      <c r="AM446" s="403" t="str">
        <f>VLOOKUP(Table2[[#This Row],[Course Title]],'TSD-Data'!$A$1:$G$70,7,FALSE)</f>
        <v>N3</v>
      </c>
    </row>
    <row r="447" spans="1:39" s="380" customFormat="1" x14ac:dyDescent="0.25">
      <c r="A447" s="368"/>
      <c r="B447" s="369" t="s">
        <v>59</v>
      </c>
      <c r="C447" s="370" t="str">
        <f>VLOOKUP(Table2[[#This Row],[Course Title]],'TSD-Data'!$A$1:$E$70,2,FALSE)</f>
        <v>A-493-0550</v>
      </c>
      <c r="D447" s="370" t="str">
        <f>VLOOKUP(Table2[[#This Row],[Course Title]],'TSD-Data'!$A$1:$E$70,3,FALSE)</f>
        <v>09K5</v>
      </c>
      <c r="E447" s="369" t="s">
        <v>86</v>
      </c>
      <c r="F447" s="371">
        <v>46245</v>
      </c>
      <c r="G447" s="371">
        <v>46248</v>
      </c>
      <c r="H447" s="371" t="s">
        <v>752</v>
      </c>
      <c r="I447" s="372"/>
      <c r="J447" s="372">
        <v>0.5</v>
      </c>
      <c r="K447" s="381">
        <v>0.375</v>
      </c>
      <c r="L447" s="381">
        <v>0.79166666666666663</v>
      </c>
      <c r="M447" s="381">
        <v>0.75</v>
      </c>
      <c r="N447" s="381">
        <v>0.25</v>
      </c>
      <c r="O447" s="381">
        <v>4.1666666666666664E-2</v>
      </c>
      <c r="P447" s="375" t="s">
        <v>272</v>
      </c>
      <c r="Q447" s="375"/>
      <c r="R447" s="376"/>
      <c r="S447" s="370">
        <f>VLOOKUP(Table2[[#This Row],[Course Title]],'TSD-Data'!$A$1:$E$70,4,FALSE)</f>
        <v>45</v>
      </c>
      <c r="T447" s="377">
        <f>VLOOKUP(Table2[[#This Row],[Course Title]],'TSD-Data'!$A$1:$F$70,6,FALSE)</f>
        <v>32</v>
      </c>
      <c r="U447" s="378">
        <f>VLOOKUP(Table2[[#This Row],[Course Title]],'TSD-Data'!$A$1:$F$70,5,FALSE)</f>
        <v>4</v>
      </c>
      <c r="V447" s="379">
        <v>864</v>
      </c>
      <c r="W447" s="377"/>
      <c r="X447" s="377"/>
      <c r="Y447" s="378"/>
      <c r="Z447" s="378"/>
      <c r="AA447" s="370"/>
      <c r="AB447" s="370"/>
      <c r="AC447" s="370"/>
      <c r="AD447" s="370"/>
      <c r="AE447" s="378">
        <f ca="1">Table2[[#This Row],[End Date]]+2-TODAY()</f>
        <v>432</v>
      </c>
      <c r="AF447" s="370">
        <f>IF(ISBLANK(Table2[[#This Row],[Roster Received by]]),1,0)</f>
        <v>1</v>
      </c>
      <c r="AG447" s="377">
        <f ca="1">IF(Table2[[#This Row],[Start Date]]&gt;TODAY(),1,)</f>
        <v>1</v>
      </c>
      <c r="AH447" s="377">
        <f>IF(ISBLANK(Table2[[#This Row],[Primary Instructor]]),0,1)</f>
        <v>1</v>
      </c>
      <c r="AI447" s="377">
        <f>IF(ISBLANK(Table2[[#This Row],[Instructor 2]]),0,1)</f>
        <v>0</v>
      </c>
      <c r="AJ447" s="377">
        <f>Table2[[#This Row],[Course Length (Hours)]]/(SUM(Table2[[#This Row],[1]:[2]]))</f>
        <v>32</v>
      </c>
      <c r="AK447" s="370"/>
      <c r="AL447" s="400">
        <v>4</v>
      </c>
      <c r="AM447" s="403" t="str">
        <f>VLOOKUP(Table2[[#This Row],[Course Title]],'TSD-Data'!$A$1:$G$70,7,FALSE)</f>
        <v>N5</v>
      </c>
    </row>
    <row r="448" spans="1:39" s="380" customFormat="1" x14ac:dyDescent="0.25">
      <c r="A448" s="368"/>
      <c r="B448" s="436" t="s">
        <v>44</v>
      </c>
      <c r="C448" s="370" t="str">
        <f>VLOOKUP(Table2[[#This Row],[Course Title]],'TSD-Data'!$A$1:$E$70,2,FALSE)</f>
        <v>A-493-0020</v>
      </c>
      <c r="D448" s="370">
        <f>VLOOKUP(Table2[[#This Row],[Course Title]],'TSD-Data'!$A$1:$E$70,3,FALSE)</f>
        <v>3888</v>
      </c>
      <c r="E448" s="369" t="s">
        <v>86</v>
      </c>
      <c r="F448" s="391">
        <v>46246</v>
      </c>
      <c r="G448" s="391">
        <v>46246</v>
      </c>
      <c r="H448" s="371" t="s">
        <v>752</v>
      </c>
      <c r="I448" s="392"/>
      <c r="J448" s="440">
        <v>0.33333333333333331</v>
      </c>
      <c r="K448" s="440">
        <v>0.20833333333333334</v>
      </c>
      <c r="L448" s="440">
        <v>0.625</v>
      </c>
      <c r="M448" s="440">
        <v>0.54166666666666663</v>
      </c>
      <c r="N448" s="440">
        <v>8.3333333333333329E-2</v>
      </c>
      <c r="O448" s="440">
        <v>0.875</v>
      </c>
      <c r="P448" s="375" t="s">
        <v>297</v>
      </c>
      <c r="Q448" s="375"/>
      <c r="R448" s="376"/>
      <c r="S448" s="370">
        <f>VLOOKUP(Table2[[#This Row],[Course Title]],'TSD-Data'!$A$1:$E$70,4,FALSE)</f>
        <v>30</v>
      </c>
      <c r="T448" s="377">
        <f>VLOOKUP(Table2[[#This Row],[Course Title]],'TSD-Data'!$A$1:$F$70,6,FALSE)</f>
        <v>4</v>
      </c>
      <c r="U448" s="378">
        <f>VLOOKUP(Table2[[#This Row],[Course Title]],'TSD-Data'!$A$1:$F$70,5,FALSE)</f>
        <v>0.5</v>
      </c>
      <c r="V448" s="379">
        <v>0</v>
      </c>
      <c r="W448" s="377"/>
      <c r="X448" s="377"/>
      <c r="Y448" s="378"/>
      <c r="Z448" s="378"/>
      <c r="AA448" s="370"/>
      <c r="AB448" s="370"/>
      <c r="AC448" s="370"/>
      <c r="AD448" s="370"/>
      <c r="AE448" s="378">
        <f ca="1">Table2[[#This Row],[End Date]]+2-TODAY()</f>
        <v>430</v>
      </c>
      <c r="AF448" s="370">
        <f>IF(ISBLANK(Table2[[#This Row],[Roster Received by]]),1,0)</f>
        <v>1</v>
      </c>
      <c r="AG448" s="377">
        <f ca="1">IF(Table2[[#This Row],[Start Date]]&gt;TODAY(),1,)</f>
        <v>1</v>
      </c>
      <c r="AH448" s="377">
        <f>IF(ISBLANK(Table2[[#This Row],[Primary Instructor]]),0,1)</f>
        <v>1</v>
      </c>
      <c r="AI448" s="377">
        <f>IF(ISBLANK(Table2[[#This Row],[Instructor 2]]),0,1)</f>
        <v>0</v>
      </c>
      <c r="AJ448" s="377">
        <f>Table2[[#This Row],[Course Length (Hours)]]/(SUM(Table2[[#This Row],[1]:[2]]))</f>
        <v>4</v>
      </c>
      <c r="AK448" s="370"/>
      <c r="AL448" s="400">
        <v>4</v>
      </c>
      <c r="AM448" s="403" t="str">
        <f>VLOOKUP(Table2[[#This Row],[Course Title]],'TSD-Data'!$A$1:$G$70,7,FALSE)</f>
        <v>N3</v>
      </c>
    </row>
    <row r="449" spans="1:39" s="380" customFormat="1" x14ac:dyDescent="0.25">
      <c r="A449" s="369"/>
      <c r="B449" s="436" t="s">
        <v>42</v>
      </c>
      <c r="C449" s="370" t="str">
        <f>VLOOKUP(Table2[[#This Row],[Course Title]],'TSD-Data'!$A$1:$E$70,2,FALSE)</f>
        <v>A-493-0015</v>
      </c>
      <c r="D449" s="370">
        <f>VLOOKUP(Table2[[#This Row],[Course Title]],'TSD-Data'!$A$1:$E$70,3,FALSE)</f>
        <v>3879</v>
      </c>
      <c r="E449" s="432" t="s">
        <v>86</v>
      </c>
      <c r="F449" s="391">
        <v>46247</v>
      </c>
      <c r="G449" s="391">
        <v>46247</v>
      </c>
      <c r="H449" s="371" t="s">
        <v>752</v>
      </c>
      <c r="I449" s="392"/>
      <c r="J449" s="372">
        <v>0.33333333333333331</v>
      </c>
      <c r="K449" s="372">
        <v>0.20833333333333334</v>
      </c>
      <c r="L449" s="372">
        <v>0.625</v>
      </c>
      <c r="M449" s="372">
        <v>0.54166666666666663</v>
      </c>
      <c r="N449" s="372">
        <v>8.3333333333333329E-2</v>
      </c>
      <c r="O449" s="372">
        <v>0.875</v>
      </c>
      <c r="P449" s="375" t="s">
        <v>297</v>
      </c>
      <c r="Q449" s="375"/>
      <c r="R449" s="375"/>
      <c r="S449" s="370">
        <f>VLOOKUP(Table2[[#This Row],[Course Title]],'TSD-Data'!$A$1:$E$70,4,FALSE)</f>
        <v>30</v>
      </c>
      <c r="T449" s="377">
        <f>VLOOKUP(Table2[[#This Row],[Course Title]],'TSD-Data'!$A$1:$F$70,6,FALSE)</f>
        <v>4</v>
      </c>
      <c r="U449" s="378">
        <f>VLOOKUP(Table2[[#This Row],[Course Title]],'TSD-Data'!$A$1:$F$70,5,FALSE)</f>
        <v>0.5</v>
      </c>
      <c r="V449" s="379">
        <v>0</v>
      </c>
      <c r="W449" s="377"/>
      <c r="X449" s="377"/>
      <c r="Y449" s="379"/>
      <c r="Z449" s="379"/>
      <c r="AA449" s="377"/>
      <c r="AB449" s="377"/>
      <c r="AC449" s="377"/>
      <c r="AD449" s="377"/>
      <c r="AE449" s="379">
        <f ca="1">Table2[[#This Row],[End Date]]+2-TODAY()</f>
        <v>431</v>
      </c>
      <c r="AF449" s="377">
        <f>IF(ISBLANK(Table2[[#This Row],[Roster Received by]]),1,0)</f>
        <v>1</v>
      </c>
      <c r="AG449" s="377">
        <f ca="1">IF(Table2[[#This Row],[Start Date]]&gt;TODAY(),1,)</f>
        <v>1</v>
      </c>
      <c r="AH449" s="377">
        <f>IF(ISBLANK(Table2[[#This Row],[Primary Instructor]]),0,1)</f>
        <v>1</v>
      </c>
      <c r="AI449" s="377">
        <f>IF(ISBLANK(Table2[[#This Row],[Instructor 2]]),0,1)</f>
        <v>0</v>
      </c>
      <c r="AJ449" s="377">
        <f>Table2[[#This Row],[Course Length (Hours)]]/(SUM(Table2[[#This Row],[1]:[2]]))</f>
        <v>4</v>
      </c>
      <c r="AK449" s="377"/>
      <c r="AL449" s="400">
        <v>4</v>
      </c>
      <c r="AM449" s="403" t="str">
        <f>VLOOKUP(Table2[[#This Row],[Course Title]],'TSD-Data'!$A$1:$G$70,7,FALSE)</f>
        <v>N3</v>
      </c>
    </row>
    <row r="450" spans="1:39" s="380" customFormat="1" x14ac:dyDescent="0.25">
      <c r="A450" s="369" t="s">
        <v>475</v>
      </c>
      <c r="B450" s="435" t="s">
        <v>358</v>
      </c>
      <c r="C450" s="370" t="str">
        <f>VLOOKUP(Table2[[#This Row],[Course Title]],'TSD-Data'!$A$1:$E$70,2,FALSE)</f>
        <v>Function</v>
      </c>
      <c r="D450" s="370" t="str">
        <f>VLOOKUP(Table2[[#This Row],[Course Title]],'TSD-Data'!$A$1:$E$70,3,FALSE)</f>
        <v>Function</v>
      </c>
      <c r="E450" s="369" t="s">
        <v>170</v>
      </c>
      <c r="F450" s="437">
        <v>46247</v>
      </c>
      <c r="G450" s="437">
        <v>46247</v>
      </c>
      <c r="H450" s="371" t="s">
        <v>788</v>
      </c>
      <c r="I450" s="372"/>
      <c r="J450" s="372"/>
      <c r="K450" s="372"/>
      <c r="L450" s="372"/>
      <c r="M450" s="372"/>
      <c r="N450" s="372"/>
      <c r="O450" s="372"/>
      <c r="P450" s="375" t="s">
        <v>322</v>
      </c>
      <c r="Q450" s="375"/>
      <c r="R450" s="398"/>
      <c r="S450" s="370">
        <f>VLOOKUP(Table2[[#This Row],[Course Title]],'TSD-Data'!$A$1:$E$70,4,FALSE)</f>
        <v>0</v>
      </c>
      <c r="T450" s="377">
        <f>VLOOKUP(Table2[[#This Row],[Course Title]],'TSD-Data'!$A$1:$F$70,6,FALSE)</f>
        <v>0</v>
      </c>
      <c r="U450" s="378">
        <f>VLOOKUP(Table2[[#This Row],[Course Title]],'TSD-Data'!$A$1:$F$70,5,FALSE)</f>
        <v>0</v>
      </c>
      <c r="V450" s="379">
        <v>0</v>
      </c>
      <c r="W450" s="377">
        <v>0</v>
      </c>
      <c r="X450" s="377">
        <v>0</v>
      </c>
      <c r="Y450" s="377">
        <v>0</v>
      </c>
      <c r="Z450" s="377">
        <v>0</v>
      </c>
      <c r="AA450" s="377">
        <v>0</v>
      </c>
      <c r="AB450" s="377">
        <v>0</v>
      </c>
      <c r="AC450" s="377">
        <v>0</v>
      </c>
      <c r="AD450" s="377" t="s">
        <v>247</v>
      </c>
      <c r="AE450" s="379">
        <f ca="1">Table2[[#This Row],[End Date]]+2-TODAY()</f>
        <v>431</v>
      </c>
      <c r="AF450" s="377">
        <f>IF(ISBLANK(Table2[[#This Row],[Roster Received by]]),1,0)</f>
        <v>0</v>
      </c>
      <c r="AG450" s="377">
        <f ca="1">IF(Table2[[#This Row],[Start Date]]&gt;TODAY(),1,)</f>
        <v>1</v>
      </c>
      <c r="AH450" s="377">
        <f>IF(ISBLANK(Table2[[#This Row],[Primary Instructor]]),0,1)</f>
        <v>1</v>
      </c>
      <c r="AI450" s="377">
        <f>IF(ISBLANK(Table2[[#This Row],[Instructor 2]]),0,1)</f>
        <v>0</v>
      </c>
      <c r="AJ450" s="377">
        <f>Table2[[#This Row],[Course Length (Hours)]]/(SUM(Table2[[#This Row],[1]:[2]]))</f>
        <v>0</v>
      </c>
      <c r="AK450" s="377">
        <f>Table2[[#This Row],[Quotas]]-Table2[[#This Row],[Registered]]</f>
        <v>0</v>
      </c>
      <c r="AL450" s="400">
        <v>4</v>
      </c>
      <c r="AM450" s="403" t="str">
        <f>VLOOKUP(Table2[[#This Row],[Course Title]],'TSD-Data'!$A$1:$G$70,7,FALSE)</f>
        <v>TSD</v>
      </c>
    </row>
    <row r="451" spans="1:39" s="380" customFormat="1" x14ac:dyDescent="0.25">
      <c r="A451" s="369"/>
      <c r="B451" s="432" t="s">
        <v>15</v>
      </c>
      <c r="C451" s="370" t="str">
        <f>VLOOKUP(Table2[[#This Row],[Course Title]],'TSD-Data'!$A$1:$E$70,2,FALSE)</f>
        <v>A-4J-0022</v>
      </c>
      <c r="D451" s="370" t="str">
        <f>VLOOKUP(Table2[[#This Row],[Course Title]],'TSD-Data'!$A$1:$E$70,3,FALSE)</f>
        <v>09ER</v>
      </c>
      <c r="E451" s="432" t="s">
        <v>86</v>
      </c>
      <c r="F451" s="371">
        <v>46251</v>
      </c>
      <c r="G451" s="371">
        <v>46255</v>
      </c>
      <c r="H451" s="371" t="s">
        <v>752</v>
      </c>
      <c r="I451" s="372"/>
      <c r="J451" s="381">
        <v>0.5</v>
      </c>
      <c r="K451" s="381">
        <v>0.375</v>
      </c>
      <c r="L451" s="381">
        <v>0.79166666666666663</v>
      </c>
      <c r="M451" s="381">
        <v>0.75</v>
      </c>
      <c r="N451" s="381">
        <v>0.25</v>
      </c>
      <c r="O451" s="381">
        <v>4.1666666666666664E-2</v>
      </c>
      <c r="P451" s="375" t="s">
        <v>238</v>
      </c>
      <c r="Q451" s="375"/>
      <c r="R451" s="375"/>
      <c r="S451" s="370">
        <f>VLOOKUP(Table2[[#This Row],[Course Title]],'TSD-Data'!$A$1:$E$70,4,FALSE)</f>
        <v>45</v>
      </c>
      <c r="T451" s="377">
        <f>VLOOKUP(Table2[[#This Row],[Course Title]],'TSD-Data'!$A$1:$F$70,6,FALSE)</f>
        <v>16</v>
      </c>
      <c r="U451" s="378">
        <f>VLOOKUP(Table2[[#This Row],[Course Title]],'TSD-Data'!$A$1:$F$70,5,FALSE)</f>
        <v>2</v>
      </c>
      <c r="V451" s="379">
        <v>130</v>
      </c>
      <c r="W451" s="377"/>
      <c r="X451" s="377"/>
      <c r="Y451" s="379"/>
      <c r="Z451" s="379"/>
      <c r="AA451" s="377"/>
      <c r="AB451" s="377"/>
      <c r="AC451" s="377"/>
      <c r="AD451" s="377"/>
      <c r="AE451" s="379">
        <f ca="1">Table2[[#This Row],[End Date]]+2-TODAY()</f>
        <v>439</v>
      </c>
      <c r="AF451" s="377">
        <f>IF(ISBLANK(Table2[[#This Row],[Roster Received by]]),1,0)</f>
        <v>1</v>
      </c>
      <c r="AG451" s="377">
        <f ca="1">IF(Table2[[#This Row],[Start Date]]&gt;TODAY(),1,)</f>
        <v>1</v>
      </c>
      <c r="AH451" s="377">
        <f>IF(ISBLANK(Table2[[#This Row],[Primary Instructor]]),0,1)</f>
        <v>1</v>
      </c>
      <c r="AI451" s="377">
        <f>IF(ISBLANK(Table2[[#This Row],[Instructor 2]]),0,1)</f>
        <v>0</v>
      </c>
      <c r="AJ451" s="377">
        <f>Table2[[#This Row],[Course Length (Hours)]]/(SUM(Table2[[#This Row],[1]:[2]]))</f>
        <v>16</v>
      </c>
      <c r="AK451" s="377"/>
      <c r="AL451" s="400">
        <v>4</v>
      </c>
      <c r="AM451" s="403" t="str">
        <f>VLOOKUP(Table2[[#This Row],[Course Title]],'TSD-Data'!$A$1:$G$70,7,FALSE)</f>
        <v>N4</v>
      </c>
    </row>
    <row r="452" spans="1:39" s="380" customFormat="1" x14ac:dyDescent="0.25">
      <c r="A452" s="368"/>
      <c r="B452" s="432" t="s">
        <v>55</v>
      </c>
      <c r="C452" s="370" t="str">
        <f>VLOOKUP(Table2[[#This Row],[Course Title]],'TSD-Data'!$A$1:$E$70,2,FALSE)</f>
        <v>A-493-0103</v>
      </c>
      <c r="D452" s="370" t="str">
        <f>VLOOKUP(Table2[[#This Row],[Course Title]],'TSD-Data'!$A$1:$E$70,3,FALSE)</f>
        <v>12JY</v>
      </c>
      <c r="E452" s="369" t="s">
        <v>250</v>
      </c>
      <c r="F452" s="371">
        <v>46251</v>
      </c>
      <c r="G452" s="371">
        <v>46251</v>
      </c>
      <c r="H452" s="371" t="s">
        <v>752</v>
      </c>
      <c r="I452" s="372">
        <v>0.33333333333333331</v>
      </c>
      <c r="J452" s="372"/>
      <c r="K452" s="371"/>
      <c r="L452" s="371"/>
      <c r="M452" s="371"/>
      <c r="N452" s="371"/>
      <c r="O452" s="371"/>
      <c r="P452" s="375" t="s">
        <v>289</v>
      </c>
      <c r="Q452" s="375"/>
      <c r="R452" s="376"/>
      <c r="S452" s="370">
        <f>VLOOKUP(Table2[[#This Row],[Course Title]],'TSD-Data'!$A$1:$E$70,4,FALSE)</f>
        <v>25</v>
      </c>
      <c r="T452" s="377">
        <f>VLOOKUP(Table2[[#This Row],[Course Title]],'TSD-Data'!$A$1:$F$70,6,FALSE)</f>
        <v>40</v>
      </c>
      <c r="U452" s="378">
        <f>VLOOKUP(Table2[[#This Row],[Course Title]],'TSD-Data'!$A$1:$F$70,5,FALSE)</f>
        <v>5</v>
      </c>
      <c r="V452" s="379">
        <v>28</v>
      </c>
      <c r="W452" s="377"/>
      <c r="X452" s="377"/>
      <c r="Y452" s="378"/>
      <c r="Z452" s="378"/>
      <c r="AA452" s="370"/>
      <c r="AB452" s="370"/>
      <c r="AC452" s="370"/>
      <c r="AD452" s="370"/>
      <c r="AE452" s="378">
        <f ca="1">Table2[[#This Row],[End Date]]+2-TODAY()</f>
        <v>435</v>
      </c>
      <c r="AF452" s="370">
        <f>IF(ISBLANK(Table2[[#This Row],[Roster Received by]]),1,0)</f>
        <v>1</v>
      </c>
      <c r="AG452" s="377">
        <f ca="1">IF(Table2[[#This Row],[Start Date]]&gt;TODAY(),1,)</f>
        <v>1</v>
      </c>
      <c r="AH452" s="377">
        <f>IF(ISBLANK(Table2[[#This Row],[Primary Instructor]]),0,1)</f>
        <v>1</v>
      </c>
      <c r="AI452" s="377">
        <f>IF(ISBLANK(Table2[[#This Row],[Instructor 2]]),0,1)</f>
        <v>0</v>
      </c>
      <c r="AJ452" s="377">
        <f>Table2[[#This Row],[Course Length (Hours)]]/(SUM(Table2[[#This Row],[1]:[2]]))</f>
        <v>40</v>
      </c>
      <c r="AK452" s="370"/>
      <c r="AL452" s="400">
        <v>4</v>
      </c>
      <c r="AM452" s="403" t="str">
        <f>VLOOKUP(Table2[[#This Row],[Course Title]],'TSD-Data'!$A$1:$G$70,7,FALSE)</f>
        <v>N5</v>
      </c>
    </row>
    <row r="453" spans="1:39" s="380" customFormat="1" x14ac:dyDescent="0.25">
      <c r="A453" s="368"/>
      <c r="B453" s="432" t="s">
        <v>55</v>
      </c>
      <c r="C453" s="370" t="str">
        <f>VLOOKUP(Table2[[#This Row],[Course Title]],'TSD-Data'!$A$1:$E$70,2,FALSE)</f>
        <v>A-493-0103</v>
      </c>
      <c r="D453" s="370" t="str">
        <f>VLOOKUP(Table2[[#This Row],[Course Title]],'TSD-Data'!$A$1:$E$70,3,FALSE)</f>
        <v>12JY</v>
      </c>
      <c r="E453" s="369" t="s">
        <v>174</v>
      </c>
      <c r="F453" s="371">
        <v>46251</v>
      </c>
      <c r="G453" s="371">
        <v>46255</v>
      </c>
      <c r="H453" s="371" t="s">
        <v>752</v>
      </c>
      <c r="I453" s="372">
        <v>0.33333333333333331</v>
      </c>
      <c r="J453" s="372"/>
      <c r="K453" s="371"/>
      <c r="L453" s="371"/>
      <c r="M453" s="371"/>
      <c r="N453" s="371"/>
      <c r="O453" s="371"/>
      <c r="P453" s="375" t="s">
        <v>289</v>
      </c>
      <c r="Q453" s="375"/>
      <c r="R453" s="376"/>
      <c r="S453" s="370">
        <f>VLOOKUP(Table2[[#This Row],[Course Title]],'TSD-Data'!$A$1:$E$70,4,FALSE)</f>
        <v>25</v>
      </c>
      <c r="T453" s="377">
        <f>VLOOKUP(Table2[[#This Row],[Course Title]],'TSD-Data'!$A$1:$F$70,6,FALSE)</f>
        <v>40</v>
      </c>
      <c r="U453" s="378">
        <f>VLOOKUP(Table2[[#This Row],[Course Title]],'TSD-Data'!$A$1:$F$70,5,FALSE)</f>
        <v>5</v>
      </c>
      <c r="V453" s="379">
        <v>84</v>
      </c>
      <c r="W453" s="377"/>
      <c r="X453" s="377"/>
      <c r="Y453" s="378"/>
      <c r="Z453" s="378"/>
      <c r="AA453" s="370"/>
      <c r="AB453" s="370"/>
      <c r="AC453" s="370"/>
      <c r="AD453" s="370"/>
      <c r="AE453" s="378">
        <f ca="1">Table2[[#This Row],[End Date]]+2-TODAY()</f>
        <v>439</v>
      </c>
      <c r="AF453" s="370">
        <f>IF(ISBLANK(Table2[[#This Row],[Roster Received by]]),1,0)</f>
        <v>1</v>
      </c>
      <c r="AG453" s="377">
        <f ca="1">IF(Table2[[#This Row],[Start Date]]&gt;TODAY(),1,)</f>
        <v>1</v>
      </c>
      <c r="AH453" s="377">
        <f>IF(ISBLANK(Table2[[#This Row],[Primary Instructor]]),0,1)</f>
        <v>1</v>
      </c>
      <c r="AI453" s="377">
        <f>IF(ISBLANK(Table2[[#This Row],[Instructor 2]]),0,1)</f>
        <v>0</v>
      </c>
      <c r="AJ453" s="377">
        <f>Table2[[#This Row],[Course Length (Hours)]]/(SUM(Table2[[#This Row],[1]:[2]]))</f>
        <v>40</v>
      </c>
      <c r="AK453" s="370"/>
      <c r="AL453" s="400">
        <v>4</v>
      </c>
      <c r="AM453" s="403" t="str">
        <f>VLOOKUP(Table2[[#This Row],[Course Title]],'TSD-Data'!$A$1:$G$70,7,FALSE)</f>
        <v>N5</v>
      </c>
    </row>
    <row r="454" spans="1:39" s="380" customFormat="1" x14ac:dyDescent="0.25">
      <c r="A454" s="413"/>
      <c r="B454" s="369" t="s">
        <v>29</v>
      </c>
      <c r="C454" s="370" t="str">
        <f>VLOOKUP(Table2[[#This Row],[Course Title]],'TSD-Data'!$A$1:$E$70,2,FALSE)</f>
        <v>A-493-0077</v>
      </c>
      <c r="D454" s="370" t="str">
        <f>VLOOKUP(Table2[[#This Row],[Course Title]],'TSD-Data'!$A$1:$E$70,3,FALSE)</f>
        <v>0381</v>
      </c>
      <c r="E454" s="414" t="s">
        <v>234</v>
      </c>
      <c r="F454" s="416">
        <v>46251</v>
      </c>
      <c r="G454" s="416">
        <v>46253</v>
      </c>
      <c r="H454" s="426" t="s">
        <v>753</v>
      </c>
      <c r="I454" s="417">
        <v>0.33333333333333331</v>
      </c>
      <c r="J454" s="417"/>
      <c r="K454" s="416"/>
      <c r="L454" s="416"/>
      <c r="M454" s="416"/>
      <c r="N454" s="416"/>
      <c r="O454" s="416"/>
      <c r="P454" s="418" t="s">
        <v>241</v>
      </c>
      <c r="Q454" s="418"/>
      <c r="R454" s="376"/>
      <c r="S454" s="370">
        <f>VLOOKUP(Table2[[#This Row],[Course Title]],'TSD-Data'!$A$1:$E$70,4,FALSE)</f>
        <v>25</v>
      </c>
      <c r="T454" s="377">
        <f>VLOOKUP(Table2[[#This Row],[Course Title]],'TSD-Data'!$A$1:$F$70,6,FALSE)</f>
        <v>24</v>
      </c>
      <c r="U454" s="378">
        <f>VLOOKUP(Table2[[#This Row],[Course Title]],'TSD-Data'!$A$1:$F$70,5,FALSE)</f>
        <v>3</v>
      </c>
      <c r="V454" s="379">
        <v>27</v>
      </c>
      <c r="W454" s="377"/>
      <c r="X454" s="377"/>
      <c r="Y454" s="420"/>
      <c r="Z454" s="420"/>
      <c r="AA454" s="415"/>
      <c r="AB454" s="415"/>
      <c r="AC454" s="421"/>
      <c r="AD454" s="421"/>
      <c r="AE454" s="420">
        <v>448</v>
      </c>
      <c r="AF454" s="415">
        <v>1</v>
      </c>
      <c r="AG454" s="403">
        <v>1</v>
      </c>
      <c r="AH454" s="403">
        <v>1</v>
      </c>
      <c r="AI454" s="403">
        <v>0</v>
      </c>
      <c r="AJ454" s="403">
        <v>24</v>
      </c>
      <c r="AK454" s="415"/>
      <c r="AL454" s="400">
        <v>4</v>
      </c>
      <c r="AM454" s="403" t="str">
        <f>VLOOKUP(Table2[[#This Row],[Course Title]],'TSD-Data'!$A$1:$G$70,7,FALSE)</f>
        <v>N4</v>
      </c>
    </row>
    <row r="455" spans="1:39" s="380" customFormat="1" x14ac:dyDescent="0.25">
      <c r="A455" s="368"/>
      <c r="B455" s="369" t="s">
        <v>51</v>
      </c>
      <c r="C455" s="370" t="str">
        <f>VLOOKUP(Table2[[#This Row],[Course Title]],'TSD-Data'!$A$1:$E$70,2,FALSE)</f>
        <v>A-493-0335</v>
      </c>
      <c r="D455" s="370" t="str">
        <f>VLOOKUP(Table2[[#This Row],[Course Title]],'TSD-Data'!$A$1:$E$70,3,FALSE)</f>
        <v>09ND</v>
      </c>
      <c r="E455" s="369" t="s">
        <v>86</v>
      </c>
      <c r="F455" s="371">
        <v>46251</v>
      </c>
      <c r="G455" s="371">
        <v>46254</v>
      </c>
      <c r="H455" s="371" t="s">
        <v>752</v>
      </c>
      <c r="I455" s="372"/>
      <c r="J455" s="372">
        <v>0.5</v>
      </c>
      <c r="K455" s="381">
        <v>0.375</v>
      </c>
      <c r="L455" s="381">
        <v>0.79166666666666663</v>
      </c>
      <c r="M455" s="381">
        <v>0.75</v>
      </c>
      <c r="N455" s="381">
        <v>0.25</v>
      </c>
      <c r="O455" s="381">
        <v>4.1666666666666664E-2</v>
      </c>
      <c r="P455" s="375" t="s">
        <v>292</v>
      </c>
      <c r="Q455" s="375"/>
      <c r="R455" s="376"/>
      <c r="S455" s="370">
        <f>VLOOKUP(Table2[[#This Row],[Course Title]],'TSD-Data'!$A$1:$E$70,4,FALSE)</f>
        <v>45</v>
      </c>
      <c r="T455" s="377">
        <f>VLOOKUP(Table2[[#This Row],[Course Title]],'TSD-Data'!$A$1:$F$70,6,FALSE)</f>
        <v>32</v>
      </c>
      <c r="U455" s="378">
        <f>VLOOKUP(Table2[[#This Row],[Course Title]],'TSD-Data'!$A$1:$F$70,5,FALSE)</f>
        <v>4</v>
      </c>
      <c r="V455" s="379">
        <v>537</v>
      </c>
      <c r="W455" s="377"/>
      <c r="X455" s="377"/>
      <c r="Y455" s="378"/>
      <c r="Z455" s="378"/>
      <c r="AA455" s="370"/>
      <c r="AB455" s="370"/>
      <c r="AC455" s="370"/>
      <c r="AD455" s="370"/>
      <c r="AE455" s="378">
        <f ca="1">Table2[[#This Row],[End Date]]+2-TODAY()</f>
        <v>438</v>
      </c>
      <c r="AF455" s="370">
        <f>IF(ISBLANK(Table2[[#This Row],[Roster Received by]]),1,0)</f>
        <v>1</v>
      </c>
      <c r="AG455" s="377">
        <f ca="1">IF(Table2[[#This Row],[Start Date]]&gt;TODAY(),1,)</f>
        <v>1</v>
      </c>
      <c r="AH455" s="377">
        <f>IF(ISBLANK(Table2[[#This Row],[Primary Instructor]]),0,1)</f>
        <v>1</v>
      </c>
      <c r="AI455" s="377">
        <f>IF(ISBLANK(Table2[[#This Row],[Instructor 2]]),0,1)</f>
        <v>0</v>
      </c>
      <c r="AJ455" s="377">
        <f>Table2[[#This Row],[Course Length (Hours)]]/(SUM(Table2[[#This Row],[1]:[2]]))</f>
        <v>32</v>
      </c>
      <c r="AK455" s="370"/>
      <c r="AL455" s="400">
        <v>4</v>
      </c>
      <c r="AM455" s="403" t="str">
        <f>VLOOKUP(Table2[[#This Row],[Course Title]],'TSD-Data'!$A$1:$G$70,7,FALSE)</f>
        <v>N3</v>
      </c>
    </row>
    <row r="456" spans="1:39" s="380" customFormat="1" x14ac:dyDescent="0.25">
      <c r="A456" s="368"/>
      <c r="B456" s="369" t="s">
        <v>53</v>
      </c>
      <c r="C456" s="370" t="str">
        <f>VLOOKUP(Table2[[#This Row],[Course Title]],'TSD-Data'!$A$1:$E$70,2,FALSE)</f>
        <v>A-493-0072</v>
      </c>
      <c r="D456" s="370" t="str">
        <f>VLOOKUP(Table2[[#This Row],[Course Title]],'TSD-Data'!$A$1:$E$70,3,FALSE)</f>
        <v>713U</v>
      </c>
      <c r="E456" s="369" t="s">
        <v>161</v>
      </c>
      <c r="F456" s="371">
        <v>46251</v>
      </c>
      <c r="G456" s="371">
        <v>46255</v>
      </c>
      <c r="H456" s="371" t="s">
        <v>752</v>
      </c>
      <c r="I456" s="372">
        <v>0.33333333333333331</v>
      </c>
      <c r="J456" s="372"/>
      <c r="K456" s="371"/>
      <c r="L456" s="371"/>
      <c r="M456" s="371"/>
      <c r="N456" s="371"/>
      <c r="O456" s="371"/>
      <c r="P456" s="375" t="s">
        <v>297</v>
      </c>
      <c r="Q456" s="375"/>
      <c r="R456" s="376" t="s">
        <v>259</v>
      </c>
      <c r="S456" s="370">
        <f>VLOOKUP(Table2[[#This Row],[Course Title]],'TSD-Data'!$A$1:$E$70,4,FALSE)</f>
        <v>30</v>
      </c>
      <c r="T456" s="377">
        <f>VLOOKUP(Table2[[#This Row],[Course Title]],'TSD-Data'!$A$1:$F$70,6,FALSE)</f>
        <v>40</v>
      </c>
      <c r="U456" s="378">
        <f>VLOOKUP(Table2[[#This Row],[Course Title]],'TSD-Data'!$A$1:$F$70,5,FALSE)</f>
        <v>5</v>
      </c>
      <c r="V456" s="379">
        <v>66</v>
      </c>
      <c r="W456" s="377"/>
      <c r="X456" s="377"/>
      <c r="Y456" s="378"/>
      <c r="Z456" s="378"/>
      <c r="AA456" s="370"/>
      <c r="AB456" s="370"/>
      <c r="AC456" s="370"/>
      <c r="AD456" s="370"/>
      <c r="AE456" s="378">
        <f ca="1">Table2[[#This Row],[End Date]]+2-TODAY()</f>
        <v>439</v>
      </c>
      <c r="AF456" s="370">
        <f>IF(ISBLANK(Table2[[#This Row],[Roster Received by]]),1,0)</f>
        <v>1</v>
      </c>
      <c r="AG456" s="377">
        <f ca="1">IF(Table2[[#This Row],[Start Date]]&gt;TODAY(),1,)</f>
        <v>1</v>
      </c>
      <c r="AH456" s="377">
        <f>IF(ISBLANK(Table2[[#This Row],[Primary Instructor]]),0,1)</f>
        <v>1</v>
      </c>
      <c r="AI456" s="377">
        <f>IF(ISBLANK(Table2[[#This Row],[Instructor 2]]),0,1)</f>
        <v>0</v>
      </c>
      <c r="AJ456" s="377">
        <f>Table2[[#This Row],[Course Length (Hours)]]/(SUM(Table2[[#This Row],[1]:[2]]))</f>
        <v>40</v>
      </c>
      <c r="AK456" s="370"/>
      <c r="AL456" s="400">
        <v>4</v>
      </c>
      <c r="AM456" s="403" t="str">
        <f>VLOOKUP(Table2[[#This Row],[Course Title]],'TSD-Data'!$A$1:$G$70,7,FALSE)</f>
        <v>N3</v>
      </c>
    </row>
    <row r="457" spans="1:39" s="380" customFormat="1" x14ac:dyDescent="0.25">
      <c r="A457" s="368"/>
      <c r="B457" s="369" t="s">
        <v>329</v>
      </c>
      <c r="C457" s="370" t="str">
        <f>VLOOKUP(Table2[[#This Row],[Course Title]],'TSD-Data'!$A$1:$E$70,2,FALSE)</f>
        <v>A-4J-0019</v>
      </c>
      <c r="D457" s="370" t="str">
        <f>VLOOKUP(Table2[[#This Row],[Course Title]],'TSD-Data'!$A$1:$E$70,3,FALSE)</f>
        <v>28SL/285M</v>
      </c>
      <c r="E457" s="369" t="s">
        <v>171</v>
      </c>
      <c r="F457" s="371">
        <v>46251</v>
      </c>
      <c r="G457" s="371">
        <v>46255</v>
      </c>
      <c r="H457" s="371" t="s">
        <v>752</v>
      </c>
      <c r="I457" s="372">
        <v>0.3125</v>
      </c>
      <c r="J457" s="372"/>
      <c r="K457" s="371"/>
      <c r="L457" s="371"/>
      <c r="M457" s="371"/>
      <c r="N457" s="371"/>
      <c r="O457" s="371"/>
      <c r="P457" s="375" t="s">
        <v>310</v>
      </c>
      <c r="Q457" s="375" t="s">
        <v>311</v>
      </c>
      <c r="R457" s="376"/>
      <c r="S457" s="370">
        <f>VLOOKUP(Table2[[#This Row],[Course Title]],'TSD-Data'!$A$1:$E$70,4,FALSE)</f>
        <v>20</v>
      </c>
      <c r="T457" s="377">
        <f>VLOOKUP(Table2[[#This Row],[Course Title]],'TSD-Data'!$A$1:$F$70,6,FALSE)</f>
        <v>40</v>
      </c>
      <c r="U457" s="378">
        <f>VLOOKUP(Table2[[#This Row],[Course Title]],'TSD-Data'!$A$1:$F$70,5,FALSE)</f>
        <v>5</v>
      </c>
      <c r="V457" s="379">
        <v>148</v>
      </c>
      <c r="W457" s="377"/>
      <c r="X457" s="377"/>
      <c r="Y457" s="378"/>
      <c r="Z457" s="378"/>
      <c r="AA457" s="370"/>
      <c r="AB457" s="370"/>
      <c r="AC457" s="370"/>
      <c r="AD457" s="370"/>
      <c r="AE457" s="378">
        <f ca="1">Table2[[#This Row],[End Date]]+2-TODAY()</f>
        <v>439</v>
      </c>
      <c r="AF457" s="370">
        <f>IF(ISBLANK(Table2[[#This Row],[Roster Received by]]),1,0)</f>
        <v>1</v>
      </c>
      <c r="AG457" s="377">
        <f ca="1">IF(Table2[[#This Row],[Start Date]]&gt;TODAY(),1,)</f>
        <v>1</v>
      </c>
      <c r="AH457" s="377">
        <f>IF(ISBLANK(Table2[[#This Row],[Primary Instructor]]),0,1)</f>
        <v>1</v>
      </c>
      <c r="AI457" s="377">
        <f>IF(ISBLANK(Table2[[#This Row],[Instructor 2]]),0,1)</f>
        <v>1</v>
      </c>
      <c r="AJ457" s="377">
        <f>Table2[[#This Row],[Course Length (Hours)]]/(SUM(Table2[[#This Row],[1]:[2]]))</f>
        <v>20</v>
      </c>
      <c r="AK457" s="370"/>
      <c r="AL457" s="400">
        <v>4</v>
      </c>
      <c r="AM457" s="403" t="str">
        <f>VLOOKUP(Table2[[#This Row],[Course Title]],'TSD-Data'!$A$1:$G$70,7,FALSE)</f>
        <v>N1</v>
      </c>
    </row>
    <row r="458" spans="1:39" s="380" customFormat="1" x14ac:dyDescent="0.25">
      <c r="A458" s="413" t="s">
        <v>743</v>
      </c>
      <c r="B458" s="414" t="s">
        <v>28</v>
      </c>
      <c r="C458" s="370" t="str">
        <f>VLOOKUP(Table2[[#This Row],[Course Title]],'TSD-Data'!$A$1:$E$70,2,FALSE)</f>
        <v>A-493-0013</v>
      </c>
      <c r="D458" s="370">
        <f>VLOOKUP(Table2[[#This Row],[Course Title]],'TSD-Data'!$A$1:$E$70,3,FALSE)</f>
        <v>3683</v>
      </c>
      <c r="E458" s="414" t="s">
        <v>290</v>
      </c>
      <c r="F458" s="416">
        <v>46252</v>
      </c>
      <c r="G458" s="416">
        <v>46254</v>
      </c>
      <c r="H458" s="426" t="s">
        <v>753</v>
      </c>
      <c r="I458" s="417">
        <v>0.33333333333333331</v>
      </c>
      <c r="J458" s="417"/>
      <c r="K458" s="416"/>
      <c r="L458" s="416"/>
      <c r="M458" s="416"/>
      <c r="N458" s="416"/>
      <c r="O458" s="416"/>
      <c r="P458" s="418" t="s">
        <v>241</v>
      </c>
      <c r="Q458" s="418"/>
      <c r="R458" s="376"/>
      <c r="S458" s="370">
        <f>VLOOKUP(Table2[[#This Row],[Course Title]],'TSD-Data'!$A$1:$E$70,4,FALSE)</f>
        <v>40</v>
      </c>
      <c r="T458" s="377">
        <f>VLOOKUP(Table2[[#This Row],[Course Title]],'TSD-Data'!$A$1:$F$70,6,FALSE)</f>
        <v>24</v>
      </c>
      <c r="U458" s="378">
        <f>VLOOKUP(Table2[[#This Row],[Course Title]],'TSD-Data'!$A$1:$F$70,5,FALSE)</f>
        <v>3</v>
      </c>
      <c r="V458" s="379">
        <v>30</v>
      </c>
      <c r="W458" s="377"/>
      <c r="X458" s="377"/>
      <c r="Y458" s="420"/>
      <c r="Z458" s="420"/>
      <c r="AA458" s="415"/>
      <c r="AB458" s="415"/>
      <c r="AC458" s="421"/>
      <c r="AD458" s="421"/>
      <c r="AE458" s="420">
        <v>449</v>
      </c>
      <c r="AF458" s="415">
        <v>1</v>
      </c>
      <c r="AG458" s="403">
        <v>1</v>
      </c>
      <c r="AH458" s="403">
        <v>1</v>
      </c>
      <c r="AI458" s="403">
        <v>0</v>
      </c>
      <c r="AJ458" s="403">
        <v>24</v>
      </c>
      <c r="AK458" s="415"/>
      <c r="AL458" s="400">
        <v>4</v>
      </c>
      <c r="AM458" s="403" t="str">
        <f>VLOOKUP(Table2[[#This Row],[Course Title]],'TSD-Data'!$A$1:$G$70,7,FALSE)</f>
        <v>N4</v>
      </c>
    </row>
    <row r="459" spans="1:39" s="380" customFormat="1" x14ac:dyDescent="0.25">
      <c r="A459" s="368"/>
      <c r="B459" s="369" t="s">
        <v>57</v>
      </c>
      <c r="C459" s="370" t="str">
        <f>VLOOKUP(Table2[[#This Row],[Course Title]],'TSD-Data'!$A$1:$E$70,2,FALSE)</f>
        <v>A-493-0099</v>
      </c>
      <c r="D459" s="370" t="str">
        <f>VLOOKUP(Table2[[#This Row],[Course Title]],'TSD-Data'!$A$1:$E$70,3,FALSE)</f>
        <v>12JW</v>
      </c>
      <c r="E459" s="369" t="s">
        <v>86</v>
      </c>
      <c r="F459" s="371">
        <v>46252</v>
      </c>
      <c r="G459" s="371">
        <v>46254</v>
      </c>
      <c r="H459" s="371" t="s">
        <v>752</v>
      </c>
      <c r="I459" s="372"/>
      <c r="J459" s="372">
        <v>0.5</v>
      </c>
      <c r="K459" s="381">
        <v>0.375</v>
      </c>
      <c r="L459" s="381">
        <v>0.79166666666666663</v>
      </c>
      <c r="M459" s="381">
        <v>0.75</v>
      </c>
      <c r="N459" s="381">
        <v>0.25</v>
      </c>
      <c r="O459" s="381">
        <v>4.1666666666666664E-2</v>
      </c>
      <c r="P459" s="375" t="s">
        <v>277</v>
      </c>
      <c r="Q459" s="375"/>
      <c r="R459" s="376"/>
      <c r="S459" s="370">
        <f>VLOOKUP(Table2[[#This Row],[Course Title]],'TSD-Data'!$A$1:$E$70,4,FALSE)</f>
        <v>45</v>
      </c>
      <c r="T459" s="377">
        <f>VLOOKUP(Table2[[#This Row],[Course Title]],'TSD-Data'!$A$1:$F$70,6,FALSE)</f>
        <v>24</v>
      </c>
      <c r="U459" s="378">
        <f>VLOOKUP(Table2[[#This Row],[Course Title]],'TSD-Data'!$A$1:$F$70,5,FALSE)</f>
        <v>3</v>
      </c>
      <c r="V459" s="379">
        <v>934</v>
      </c>
      <c r="W459" s="377"/>
      <c r="X459" s="377"/>
      <c r="Y459" s="378"/>
      <c r="Z459" s="378"/>
      <c r="AA459" s="370"/>
      <c r="AB459" s="370"/>
      <c r="AC459" s="370"/>
      <c r="AD459" s="370"/>
      <c r="AE459" s="378">
        <f ca="1">Table2[[#This Row],[End Date]]+2-TODAY()</f>
        <v>438</v>
      </c>
      <c r="AF459" s="370">
        <f>IF(ISBLANK(Table2[[#This Row],[Roster Received by]]),1,0)</f>
        <v>1</v>
      </c>
      <c r="AG459" s="377">
        <f ca="1">IF(Table2[[#This Row],[Start Date]]&gt;TODAY(),1,)</f>
        <v>1</v>
      </c>
      <c r="AH459" s="377">
        <f>IF(ISBLANK(Table2[[#This Row],[Primary Instructor]]),0,1)</f>
        <v>1</v>
      </c>
      <c r="AI459" s="377">
        <f>IF(ISBLANK(Table2[[#This Row],[Instructor 2]]),0,1)</f>
        <v>0</v>
      </c>
      <c r="AJ459" s="377">
        <f>Table2[[#This Row],[Course Length (Hours)]]/(SUM(Table2[[#This Row],[1]:[2]]))</f>
        <v>24</v>
      </c>
      <c r="AK459" s="370"/>
      <c r="AL459" s="400">
        <v>4</v>
      </c>
      <c r="AM459" s="403" t="str">
        <f>VLOOKUP(Table2[[#This Row],[Course Title]],'TSD-Data'!$A$1:$G$70,7,FALSE)</f>
        <v>N5</v>
      </c>
    </row>
    <row r="460" spans="1:39" s="380" customFormat="1" x14ac:dyDescent="0.25">
      <c r="A460" s="413"/>
      <c r="B460" s="414" t="s">
        <v>35</v>
      </c>
      <c r="C460" s="370" t="str">
        <f>VLOOKUP(Table2[[#This Row],[Course Title]],'TSD-Data'!$A$1:$E$70,2,FALSE)</f>
        <v>A-493-2501</v>
      </c>
      <c r="D460" s="370" t="str">
        <f>VLOOKUP(Table2[[#This Row],[Course Title]],'TSD-Data'!$A$1:$E$70,3,FALSE)</f>
        <v>05ZE</v>
      </c>
      <c r="E460" s="414" t="s">
        <v>404</v>
      </c>
      <c r="F460" s="416">
        <v>46252</v>
      </c>
      <c r="G460" s="416">
        <v>46252</v>
      </c>
      <c r="H460" s="426" t="s">
        <v>753</v>
      </c>
      <c r="I460" s="417">
        <v>0.33333333333333331</v>
      </c>
      <c r="J460" s="417"/>
      <c r="K460" s="416"/>
      <c r="L460" s="416"/>
      <c r="M460" s="416"/>
      <c r="N460" s="416"/>
      <c r="O460" s="416"/>
      <c r="P460" s="418" t="s">
        <v>241</v>
      </c>
      <c r="Q460" s="418"/>
      <c r="R460" s="376"/>
      <c r="S460" s="370">
        <f>VLOOKUP(Table2[[#This Row],[Course Title]],'TSD-Data'!$A$1:$E$70,4,FALSE)</f>
        <v>30</v>
      </c>
      <c r="T460" s="377">
        <f>VLOOKUP(Table2[[#This Row],[Course Title]],'TSD-Data'!$A$1:$F$70,6,FALSE)</f>
        <v>8</v>
      </c>
      <c r="U460" s="378">
        <f>VLOOKUP(Table2[[#This Row],[Course Title]],'TSD-Data'!$A$1:$F$70,5,FALSE)</f>
        <v>1</v>
      </c>
      <c r="V460" s="379">
        <v>30</v>
      </c>
      <c r="W460" s="377"/>
      <c r="X460" s="377"/>
      <c r="Y460" s="420"/>
      <c r="Z460" s="420"/>
      <c r="AA460" s="415"/>
      <c r="AB460" s="415"/>
      <c r="AC460" s="421"/>
      <c r="AD460" s="421"/>
      <c r="AE460" s="420">
        <v>447</v>
      </c>
      <c r="AF460" s="415">
        <v>1</v>
      </c>
      <c r="AG460" s="403">
        <v>1</v>
      </c>
      <c r="AH460" s="403">
        <v>1</v>
      </c>
      <c r="AI460" s="403">
        <v>0</v>
      </c>
      <c r="AJ460" s="403">
        <v>8</v>
      </c>
      <c r="AK460" s="415"/>
      <c r="AL460" s="400">
        <v>4</v>
      </c>
      <c r="AM460" s="403" t="str">
        <f>VLOOKUP(Table2[[#This Row],[Course Title]],'TSD-Data'!$A$1:$G$70,7,FALSE)</f>
        <v>N4</v>
      </c>
    </row>
    <row r="461" spans="1:39" s="380" customFormat="1" x14ac:dyDescent="0.25">
      <c r="A461" s="368"/>
      <c r="B461" s="432" t="s">
        <v>37</v>
      </c>
      <c r="C461" s="370" t="str">
        <f>VLOOKUP(Table2[[#This Row],[Course Title]],'TSD-Data'!$A$1:$E$70,2,FALSE)</f>
        <v>A-493-0665</v>
      </c>
      <c r="D461" s="370" t="str">
        <f>VLOOKUP(Table2[[#This Row],[Course Title]],'TSD-Data'!$A$1:$E$70,3,FALSE)</f>
        <v>10KW</v>
      </c>
      <c r="E461" s="369" t="s">
        <v>86</v>
      </c>
      <c r="F461" s="371">
        <v>46258</v>
      </c>
      <c r="G461" s="371">
        <v>46260</v>
      </c>
      <c r="H461" s="371" t="s">
        <v>752</v>
      </c>
      <c r="I461" s="372"/>
      <c r="J461" s="372">
        <v>0.5</v>
      </c>
      <c r="K461" s="439">
        <v>0.375</v>
      </c>
      <c r="L461" s="381">
        <v>0.79166666666666663</v>
      </c>
      <c r="M461" s="381">
        <v>0.75</v>
      </c>
      <c r="N461" s="381">
        <v>0.25</v>
      </c>
      <c r="O461" s="381">
        <v>4.1666666666666664E-2</v>
      </c>
      <c r="P461" s="375" t="s">
        <v>248</v>
      </c>
      <c r="Q461" s="375"/>
      <c r="R461" s="376"/>
      <c r="S461" s="370">
        <f>VLOOKUP(Table2[[#This Row],[Course Title]],'TSD-Data'!$A$1:$E$70,4,FALSE)</f>
        <v>45</v>
      </c>
      <c r="T461" s="377">
        <f>VLOOKUP(Table2[[#This Row],[Course Title]],'TSD-Data'!$A$1:$F$70,6,FALSE)</f>
        <v>24</v>
      </c>
      <c r="U461" s="378">
        <f>VLOOKUP(Table2[[#This Row],[Course Title]],'TSD-Data'!$A$1:$F$70,5,FALSE)</f>
        <v>3</v>
      </c>
      <c r="V461" s="379">
        <v>337</v>
      </c>
      <c r="W461" s="377"/>
      <c r="X461" s="377"/>
      <c r="Y461" s="378"/>
      <c r="Z461" s="378"/>
      <c r="AA461" s="370"/>
      <c r="AB461" s="370"/>
      <c r="AC461" s="370"/>
      <c r="AD461" s="370"/>
      <c r="AE461" s="378">
        <f ca="1">Table2[[#This Row],[End Date]]+2-TODAY()</f>
        <v>444</v>
      </c>
      <c r="AF461" s="370">
        <f>IF(ISBLANK(Table2[[#This Row],[Roster Received by]]),1,0)</f>
        <v>1</v>
      </c>
      <c r="AG461" s="377">
        <f ca="1">IF(Table2[[#This Row],[Start Date]]&gt;TODAY(),1,)</f>
        <v>1</v>
      </c>
      <c r="AH461" s="377">
        <f>IF(ISBLANK(Table2[[#This Row],[Primary Instructor]]),0,1)</f>
        <v>1</v>
      </c>
      <c r="AI461" s="377">
        <f>IF(ISBLANK(Table2[[#This Row],[Instructor 2]]),0,1)</f>
        <v>0</v>
      </c>
      <c r="AJ461" s="377">
        <f>Table2[[#This Row],[Course Length (Hours)]]/(SUM(Table2[[#This Row],[1]:[2]]))</f>
        <v>24</v>
      </c>
      <c r="AK461" s="370"/>
      <c r="AL461" s="400">
        <v>4</v>
      </c>
      <c r="AM461" s="403" t="str">
        <f>VLOOKUP(Table2[[#This Row],[Course Title]],'TSD-Data'!$A$1:$G$70,7,FALSE)</f>
        <v>N5</v>
      </c>
    </row>
    <row r="462" spans="1:39" s="380" customFormat="1" x14ac:dyDescent="0.25">
      <c r="A462" s="368"/>
      <c r="B462" s="369" t="s">
        <v>38</v>
      </c>
      <c r="C462" s="370" t="str">
        <f>VLOOKUP(Table2[[#This Row],[Course Title]],'TSD-Data'!$A$1:$E$70,2,FALSE)</f>
        <v>A-493-0061</v>
      </c>
      <c r="D462" s="370" t="str">
        <f>VLOOKUP(Table2[[#This Row],[Course Title]],'TSD-Data'!$A$1:$E$70,3,FALSE)</f>
        <v>288E</v>
      </c>
      <c r="E462" s="369" t="s">
        <v>86</v>
      </c>
      <c r="F462" s="371">
        <v>46258</v>
      </c>
      <c r="G462" s="371">
        <v>46261</v>
      </c>
      <c r="H462" s="371" t="s">
        <v>752</v>
      </c>
      <c r="I462" s="372"/>
      <c r="J462" s="372">
        <v>0.5</v>
      </c>
      <c r="K462" s="381">
        <v>0.375</v>
      </c>
      <c r="L462" s="381">
        <v>0.79166666666666663</v>
      </c>
      <c r="M462" s="381">
        <v>0.75</v>
      </c>
      <c r="N462" s="381">
        <v>0.25</v>
      </c>
      <c r="O462" s="381">
        <v>4.1666666666666664E-2</v>
      </c>
      <c r="P462" s="375" t="s">
        <v>274</v>
      </c>
      <c r="Q462" s="375"/>
      <c r="R462" s="376"/>
      <c r="S462" s="370">
        <f>VLOOKUP(Table2[[#This Row],[Course Title]],'TSD-Data'!$A$1:$E$70,4,FALSE)</f>
        <v>45</v>
      </c>
      <c r="T462" s="377">
        <f>VLOOKUP(Table2[[#This Row],[Course Title]],'TSD-Data'!$A$1:$F$70,6,FALSE)</f>
        <v>30</v>
      </c>
      <c r="U462" s="378">
        <f>VLOOKUP(Table2[[#This Row],[Course Title]],'TSD-Data'!$A$1:$F$70,5,FALSE)</f>
        <v>4</v>
      </c>
      <c r="V462" s="379">
        <v>620</v>
      </c>
      <c r="W462" s="377"/>
      <c r="X462" s="377"/>
      <c r="Y462" s="378"/>
      <c r="Z462" s="378"/>
      <c r="AA462" s="370"/>
      <c r="AB462" s="370"/>
      <c r="AC462" s="370"/>
      <c r="AD462" s="370"/>
      <c r="AE462" s="378">
        <f ca="1">Table2[[#This Row],[End Date]]+2-TODAY()</f>
        <v>445</v>
      </c>
      <c r="AF462" s="370">
        <f>IF(ISBLANK(Table2[[#This Row],[Roster Received by]]),1,0)</f>
        <v>1</v>
      </c>
      <c r="AG462" s="377">
        <f ca="1">IF(Table2[[#This Row],[Start Date]]&gt;TODAY(),1,)</f>
        <v>1</v>
      </c>
      <c r="AH462" s="377">
        <f>IF(ISBLANK(Table2[[#This Row],[Primary Instructor]]),0,1)</f>
        <v>1</v>
      </c>
      <c r="AI462" s="377">
        <f>IF(ISBLANK(Table2[[#This Row],[Instructor 2]]),0,1)</f>
        <v>0</v>
      </c>
      <c r="AJ462" s="377">
        <f>Table2[[#This Row],[Course Length (Hours)]]/(SUM(Table2[[#This Row],[1]:[2]]))</f>
        <v>30</v>
      </c>
      <c r="AK462" s="370"/>
      <c r="AL462" s="400">
        <v>4</v>
      </c>
      <c r="AM462" s="403" t="str">
        <f>VLOOKUP(Table2[[#This Row],[Course Title]],'TSD-Data'!$A$1:$G$70,7,FALSE)</f>
        <v>N5</v>
      </c>
    </row>
    <row r="463" spans="1:39" s="380" customFormat="1" x14ac:dyDescent="0.25">
      <c r="A463" s="368"/>
      <c r="B463" s="369" t="s">
        <v>59</v>
      </c>
      <c r="C463" s="370" t="str">
        <f>VLOOKUP(Table2[[#This Row],[Course Title]],'TSD-Data'!$A$1:$E$70,2,FALSE)</f>
        <v>A-493-0550</v>
      </c>
      <c r="D463" s="370" t="str">
        <f>VLOOKUP(Table2[[#This Row],[Course Title]],'TSD-Data'!$A$1:$E$70,3,FALSE)</f>
        <v>09K5</v>
      </c>
      <c r="E463" s="369" t="s">
        <v>86</v>
      </c>
      <c r="F463" s="371">
        <v>46258</v>
      </c>
      <c r="G463" s="371">
        <v>46261</v>
      </c>
      <c r="H463" s="371" t="s">
        <v>752</v>
      </c>
      <c r="I463" s="372"/>
      <c r="J463" s="372">
        <v>0.33333333333333331</v>
      </c>
      <c r="K463" s="372">
        <v>0.20833333333333334</v>
      </c>
      <c r="L463" s="372">
        <v>0.625</v>
      </c>
      <c r="M463" s="372">
        <v>0.54166666666666663</v>
      </c>
      <c r="N463" s="372">
        <v>8.3333333333333329E-2</v>
      </c>
      <c r="O463" s="372">
        <v>0.875</v>
      </c>
      <c r="P463" s="375" t="s">
        <v>272</v>
      </c>
      <c r="Q463" s="375"/>
      <c r="R463" s="376"/>
      <c r="S463" s="370">
        <f>VLOOKUP(Table2[[#This Row],[Course Title]],'TSD-Data'!$A$1:$E$70,4,FALSE)</f>
        <v>45</v>
      </c>
      <c r="T463" s="377">
        <f>VLOOKUP(Table2[[#This Row],[Course Title]],'TSD-Data'!$A$1:$F$70,6,FALSE)</f>
        <v>32</v>
      </c>
      <c r="U463" s="378">
        <f>VLOOKUP(Table2[[#This Row],[Course Title]],'TSD-Data'!$A$1:$F$70,5,FALSE)</f>
        <v>4</v>
      </c>
      <c r="V463" s="379">
        <v>455</v>
      </c>
      <c r="W463" s="377"/>
      <c r="X463" s="377"/>
      <c r="Y463" s="378"/>
      <c r="Z463" s="378"/>
      <c r="AA463" s="370"/>
      <c r="AB463" s="370"/>
      <c r="AC463" s="370"/>
      <c r="AD463" s="370"/>
      <c r="AE463" s="378">
        <f ca="1">Table2[[#This Row],[End Date]]+2-TODAY()</f>
        <v>445</v>
      </c>
      <c r="AF463" s="370">
        <f>IF(ISBLANK(Table2[[#This Row],[Roster Received by]]),1,0)</f>
        <v>1</v>
      </c>
      <c r="AG463" s="377">
        <f ca="1">IF(Table2[[#This Row],[Start Date]]&gt;TODAY(),1,)</f>
        <v>1</v>
      </c>
      <c r="AH463" s="377">
        <f>IF(ISBLANK(Table2[[#This Row],[Primary Instructor]]),0,1)</f>
        <v>1</v>
      </c>
      <c r="AI463" s="377">
        <f>IF(ISBLANK(Table2[[#This Row],[Instructor 2]]),0,1)</f>
        <v>0</v>
      </c>
      <c r="AJ463" s="377">
        <f>Table2[[#This Row],[Course Length (Hours)]]/(SUM(Table2[[#This Row],[1]:[2]]))</f>
        <v>32</v>
      </c>
      <c r="AK463" s="370"/>
      <c r="AL463" s="400">
        <v>4</v>
      </c>
      <c r="AM463" s="403" t="str">
        <f>VLOOKUP(Table2[[#This Row],[Course Title]],'TSD-Data'!$A$1:$G$70,7,FALSE)</f>
        <v>N5</v>
      </c>
    </row>
    <row r="464" spans="1:39" s="380" customFormat="1" x14ac:dyDescent="0.25">
      <c r="A464" s="368"/>
      <c r="B464" s="369" t="s">
        <v>61</v>
      </c>
      <c r="C464" s="370" t="str">
        <f>VLOOKUP(Table2[[#This Row],[Course Title]],'TSD-Data'!$A$1:$E$70,2,FALSE)</f>
        <v>A-493-0078</v>
      </c>
      <c r="D464" s="370">
        <f>VLOOKUP(Table2[[#This Row],[Course Title]],'TSD-Data'!$A$1:$E$70,3,FALSE)</f>
        <v>1228</v>
      </c>
      <c r="E464" s="369" t="s">
        <v>86</v>
      </c>
      <c r="F464" s="371">
        <v>46258</v>
      </c>
      <c r="G464" s="371">
        <v>46261</v>
      </c>
      <c r="H464" s="371" t="s">
        <v>752</v>
      </c>
      <c r="I464" s="372"/>
      <c r="J464" s="372">
        <v>0.79166666666666663</v>
      </c>
      <c r="K464" s="381">
        <v>0.66666666666666663</v>
      </c>
      <c r="L464" s="381">
        <v>8.3333333333333329E-2</v>
      </c>
      <c r="M464" s="381">
        <v>0</v>
      </c>
      <c r="N464" s="381">
        <v>0.54166666666666663</v>
      </c>
      <c r="O464" s="381">
        <v>0.33333333333333331</v>
      </c>
      <c r="P464" s="375" t="s">
        <v>256</v>
      </c>
      <c r="Q464" s="375"/>
      <c r="R464" s="376"/>
      <c r="S464" s="370">
        <f>VLOOKUP(Table2[[#This Row],[Course Title]],'TSD-Data'!$A$1:$E$70,4,FALSE)</f>
        <v>45</v>
      </c>
      <c r="T464" s="377">
        <f>VLOOKUP(Table2[[#This Row],[Course Title]],'TSD-Data'!$A$1:$F$70,6,FALSE)</f>
        <v>32</v>
      </c>
      <c r="U464" s="378">
        <f>VLOOKUP(Table2[[#This Row],[Course Title]],'TSD-Data'!$A$1:$F$70,5,FALSE)</f>
        <v>4</v>
      </c>
      <c r="V464" s="379">
        <v>181</v>
      </c>
      <c r="W464" s="377"/>
      <c r="X464" s="377"/>
      <c r="Y464" s="378"/>
      <c r="Z464" s="378"/>
      <c r="AA464" s="370"/>
      <c r="AB464" s="370"/>
      <c r="AC464" s="370"/>
      <c r="AD464" s="370"/>
      <c r="AE464" s="378">
        <f ca="1">Table2[[#This Row],[End Date]]+2-TODAY()</f>
        <v>445</v>
      </c>
      <c r="AF464" s="370">
        <f>IF(ISBLANK(Table2[[#This Row],[Roster Received by]]),1,0)</f>
        <v>1</v>
      </c>
      <c r="AG464" s="377">
        <f ca="1">IF(Table2[[#This Row],[Start Date]]&gt;TODAY(),1,)</f>
        <v>1</v>
      </c>
      <c r="AH464" s="377">
        <f>IF(ISBLANK(Table2[[#This Row],[Primary Instructor]]),0,1)</f>
        <v>1</v>
      </c>
      <c r="AI464" s="377">
        <f>IF(ISBLANK(Table2[[#This Row],[Instructor 2]]),0,1)</f>
        <v>0</v>
      </c>
      <c r="AJ464" s="377">
        <f>Table2[[#This Row],[Course Length (Hours)]]/(SUM(Table2[[#This Row],[1]:[2]]))</f>
        <v>32</v>
      </c>
      <c r="AK464" s="370"/>
      <c r="AL464" s="400">
        <v>4</v>
      </c>
      <c r="AM464" s="403" t="str">
        <f>VLOOKUP(Table2[[#This Row],[Course Title]],'TSD-Data'!$A$1:$G$70,7,FALSE)</f>
        <v>N5</v>
      </c>
    </row>
    <row r="465" spans="1:39" s="380" customFormat="1" x14ac:dyDescent="0.25">
      <c r="A465" s="368"/>
      <c r="B465" s="432" t="s">
        <v>52</v>
      </c>
      <c r="C465" s="370" t="str">
        <f>VLOOKUP(Table2[[#This Row],[Course Title]],'TSD-Data'!$A$1:$E$70,2,FALSE)</f>
        <v>A-493-0085</v>
      </c>
      <c r="D465" s="370">
        <f>VLOOKUP(Table2[[#This Row],[Course Title]],'TSD-Data'!$A$1:$E$70,3,FALSE)</f>
        <v>3555</v>
      </c>
      <c r="E465" s="369" t="s">
        <v>86</v>
      </c>
      <c r="F465" s="371">
        <v>46258</v>
      </c>
      <c r="G465" s="371">
        <v>46261</v>
      </c>
      <c r="H465" s="371" t="s">
        <v>752</v>
      </c>
      <c r="I465" s="372"/>
      <c r="J465" s="372">
        <v>0.5</v>
      </c>
      <c r="K465" s="381">
        <v>0.375</v>
      </c>
      <c r="L465" s="381">
        <v>0.79166666666666663</v>
      </c>
      <c r="M465" s="381">
        <v>0.75</v>
      </c>
      <c r="N465" s="381">
        <v>0.25</v>
      </c>
      <c r="O465" s="381">
        <v>4.1666666666666664E-2</v>
      </c>
      <c r="P465" s="375" t="s">
        <v>293</v>
      </c>
      <c r="Q465" s="375"/>
      <c r="R465" s="376"/>
      <c r="S465" s="370">
        <f>VLOOKUP(Table2[[#This Row],[Course Title]],'TSD-Data'!$A$1:$E$70,4,FALSE)</f>
        <v>45</v>
      </c>
      <c r="T465" s="377">
        <f>VLOOKUP(Table2[[#This Row],[Course Title]],'TSD-Data'!$A$1:$F$70,6,FALSE)</f>
        <v>32</v>
      </c>
      <c r="U465" s="378">
        <f>VLOOKUP(Table2[[#This Row],[Course Title]],'TSD-Data'!$A$1:$F$70,5,FALSE)</f>
        <v>4</v>
      </c>
      <c r="V465" s="379">
        <v>688</v>
      </c>
      <c r="W465" s="377"/>
      <c r="X465" s="377"/>
      <c r="Y465" s="378"/>
      <c r="Z465" s="378"/>
      <c r="AA465" s="370"/>
      <c r="AB465" s="370"/>
      <c r="AC465" s="370"/>
      <c r="AD465" s="370"/>
      <c r="AE465" s="378">
        <f ca="1">Table2[[#This Row],[End Date]]+2-TODAY()</f>
        <v>445</v>
      </c>
      <c r="AF465" s="370">
        <f>IF(ISBLANK(Table2[[#This Row],[Roster Received by]]),1,0)</f>
        <v>1</v>
      </c>
      <c r="AG465" s="377">
        <f ca="1">IF(Table2[[#This Row],[Start Date]]&gt;TODAY(),1,)</f>
        <v>1</v>
      </c>
      <c r="AH465" s="377">
        <f>IF(ISBLANK(Table2[[#This Row],[Primary Instructor]]),0,1)</f>
        <v>1</v>
      </c>
      <c r="AI465" s="377">
        <f>IF(ISBLANK(Table2[[#This Row],[Instructor 2]]),0,1)</f>
        <v>0</v>
      </c>
      <c r="AJ465" s="377">
        <f>Table2[[#This Row],[Course Length (Hours)]]/(SUM(Table2[[#This Row],[1]:[2]]))</f>
        <v>32</v>
      </c>
      <c r="AK465" s="370"/>
      <c r="AL465" s="400">
        <v>4</v>
      </c>
      <c r="AM465" s="403" t="str">
        <f>VLOOKUP(Table2[[#This Row],[Course Title]],'TSD-Data'!$A$1:$G$70,7,FALSE)</f>
        <v>N3</v>
      </c>
    </row>
    <row r="466" spans="1:39" s="380" customFormat="1" x14ac:dyDescent="0.25">
      <c r="A466" s="368"/>
      <c r="B466" s="369" t="s">
        <v>39</v>
      </c>
      <c r="C466" s="370" t="str">
        <f>VLOOKUP(Table2[[#This Row],[Course Title]],'TSD-Data'!$A$1:$E$70,2,FALSE)</f>
        <v>A-570-0100</v>
      </c>
      <c r="D466" s="370" t="str">
        <f>VLOOKUP(Table2[[#This Row],[Course Title]],'TSD-Data'!$A$1:$E$70,3,FALSE)</f>
        <v>18B7</v>
      </c>
      <c r="E466" s="369" t="s">
        <v>86</v>
      </c>
      <c r="F466" s="371">
        <v>46258</v>
      </c>
      <c r="G466" s="371">
        <v>46259</v>
      </c>
      <c r="H466" s="371" t="s">
        <v>752</v>
      </c>
      <c r="I466" s="372"/>
      <c r="J466" s="372">
        <v>0.5</v>
      </c>
      <c r="K466" s="381">
        <v>0.375</v>
      </c>
      <c r="L466" s="381">
        <v>0.79166666666666663</v>
      </c>
      <c r="M466" s="381">
        <v>0.75</v>
      </c>
      <c r="N466" s="381">
        <v>0.25</v>
      </c>
      <c r="O466" s="381">
        <v>4.1666666666666664E-2</v>
      </c>
      <c r="P466" s="375" t="s">
        <v>252</v>
      </c>
      <c r="Q466" s="375"/>
      <c r="R466" s="376"/>
      <c r="S466" s="370">
        <f>VLOOKUP(Table2[[#This Row],[Course Title]],'TSD-Data'!$A$1:$E$70,4,FALSE)</f>
        <v>45</v>
      </c>
      <c r="T466" s="377">
        <f>VLOOKUP(Table2[[#This Row],[Course Title]],'TSD-Data'!$A$1:$F$70,6,FALSE)</f>
        <v>16</v>
      </c>
      <c r="U466" s="378">
        <f>VLOOKUP(Table2[[#This Row],[Course Title]],'TSD-Data'!$A$1:$F$70,5,FALSE)</f>
        <v>2</v>
      </c>
      <c r="V466" s="379">
        <v>663</v>
      </c>
      <c r="W466" s="377"/>
      <c r="X466" s="377"/>
      <c r="Y466" s="378"/>
      <c r="Z466" s="378"/>
      <c r="AA466" s="370"/>
      <c r="AB466" s="370"/>
      <c r="AC466" s="370"/>
      <c r="AD466" s="370"/>
      <c r="AE466" s="378">
        <f ca="1">Table2[[#This Row],[End Date]]+2-TODAY()</f>
        <v>443</v>
      </c>
      <c r="AF466" s="370">
        <f>IF(ISBLANK(Table2[[#This Row],[Roster Received by]]),1,0)</f>
        <v>1</v>
      </c>
      <c r="AG466" s="377">
        <f ca="1">IF(Table2[[#This Row],[Start Date]]&gt;TODAY(),1,)</f>
        <v>1</v>
      </c>
      <c r="AH466" s="377">
        <f>IF(ISBLANK(Table2[[#This Row],[Primary Instructor]]),0,1)</f>
        <v>1</v>
      </c>
      <c r="AI466" s="377">
        <f>IF(ISBLANK(Table2[[#This Row],[Instructor 2]]),0,1)</f>
        <v>0</v>
      </c>
      <c r="AJ466" s="377">
        <f>Table2[[#This Row],[Course Length (Hours)]]/(SUM(Table2[[#This Row],[1]:[2]]))</f>
        <v>16</v>
      </c>
      <c r="AK466" s="370"/>
      <c r="AL466" s="400">
        <v>4</v>
      </c>
      <c r="AM466" s="403" t="str">
        <f>VLOOKUP(Table2[[#This Row],[Course Title]],'TSD-Data'!$A$1:$G$70,7,FALSE)</f>
        <v>N5</v>
      </c>
    </row>
    <row r="467" spans="1:39" s="380" customFormat="1" x14ac:dyDescent="0.25">
      <c r="A467" s="368"/>
      <c r="B467" s="369" t="s">
        <v>53</v>
      </c>
      <c r="C467" s="370" t="str">
        <f>VLOOKUP(Table2[[#This Row],[Course Title]],'TSD-Data'!$A$1:$E$70,2,FALSE)</f>
        <v>A-493-0072</v>
      </c>
      <c r="D467" s="370" t="str">
        <f>VLOOKUP(Table2[[#This Row],[Course Title]],'TSD-Data'!$A$1:$E$70,3,FALSE)</f>
        <v>713U</v>
      </c>
      <c r="E467" s="369" t="s">
        <v>157</v>
      </c>
      <c r="F467" s="371">
        <v>46258</v>
      </c>
      <c r="G467" s="371">
        <v>46262</v>
      </c>
      <c r="H467" s="371" t="s">
        <v>752</v>
      </c>
      <c r="I467" s="372">
        <v>0.33333333333333331</v>
      </c>
      <c r="J467" s="372"/>
      <c r="K467" s="371"/>
      <c r="L467" s="371"/>
      <c r="M467" s="371"/>
      <c r="N467" s="371"/>
      <c r="O467" s="371"/>
      <c r="P467" s="375" t="s">
        <v>297</v>
      </c>
      <c r="Q467" s="375"/>
      <c r="R467" s="376" t="s">
        <v>259</v>
      </c>
      <c r="S467" s="370">
        <f>VLOOKUP(Table2[[#This Row],[Course Title]],'TSD-Data'!$A$1:$E$70,4,FALSE)</f>
        <v>30</v>
      </c>
      <c r="T467" s="377">
        <f>VLOOKUP(Table2[[#This Row],[Course Title]],'TSD-Data'!$A$1:$F$70,6,FALSE)</f>
        <v>40</v>
      </c>
      <c r="U467" s="378">
        <f>VLOOKUP(Table2[[#This Row],[Course Title]],'TSD-Data'!$A$1:$F$70,5,FALSE)</f>
        <v>5</v>
      </c>
      <c r="V467" s="379">
        <v>67</v>
      </c>
      <c r="W467" s="377"/>
      <c r="X467" s="377"/>
      <c r="Y467" s="378"/>
      <c r="Z467" s="378"/>
      <c r="AA467" s="370"/>
      <c r="AB467" s="370"/>
      <c r="AC467" s="370"/>
      <c r="AD467" s="370"/>
      <c r="AE467" s="378">
        <f ca="1">Table2[[#This Row],[End Date]]+2-TODAY()</f>
        <v>446</v>
      </c>
      <c r="AF467" s="370">
        <f>IF(ISBLANK(Table2[[#This Row],[Roster Received by]]),1,0)</f>
        <v>1</v>
      </c>
      <c r="AG467" s="377">
        <f ca="1">IF(Table2[[#This Row],[Start Date]]&gt;TODAY(),1,)</f>
        <v>1</v>
      </c>
      <c r="AH467" s="377">
        <f>IF(ISBLANK(Table2[[#This Row],[Primary Instructor]]),0,1)</f>
        <v>1</v>
      </c>
      <c r="AI467" s="377">
        <f>IF(ISBLANK(Table2[[#This Row],[Instructor 2]]),0,1)</f>
        <v>0</v>
      </c>
      <c r="AJ467" s="377">
        <f>Table2[[#This Row],[Course Length (Hours)]]/(SUM(Table2[[#This Row],[1]:[2]]))</f>
        <v>40</v>
      </c>
      <c r="AK467" s="370"/>
      <c r="AL467" s="400">
        <v>4</v>
      </c>
      <c r="AM467" s="403" t="str">
        <f>VLOOKUP(Table2[[#This Row],[Course Title]],'TSD-Data'!$A$1:$G$70,7,FALSE)</f>
        <v>N3</v>
      </c>
    </row>
    <row r="468" spans="1:39" s="380" customFormat="1" x14ac:dyDescent="0.25">
      <c r="A468" s="413"/>
      <c r="B468" s="369" t="s">
        <v>29</v>
      </c>
      <c r="C468" s="370" t="str">
        <f>VLOOKUP(Table2[[#This Row],[Course Title]],'TSD-Data'!$A$1:$E$70,2,FALSE)</f>
        <v>A-493-0077</v>
      </c>
      <c r="D468" s="370" t="str">
        <f>VLOOKUP(Table2[[#This Row],[Course Title]],'TSD-Data'!$A$1:$E$70,3,FALSE)</f>
        <v>0381</v>
      </c>
      <c r="E468" s="414" t="s">
        <v>290</v>
      </c>
      <c r="F468" s="416">
        <v>46259</v>
      </c>
      <c r="G468" s="416">
        <v>46261</v>
      </c>
      <c r="H468" s="426" t="s">
        <v>753</v>
      </c>
      <c r="I468" s="417">
        <v>0.33333333333333331</v>
      </c>
      <c r="J468" s="417"/>
      <c r="K468" s="416"/>
      <c r="L468" s="416"/>
      <c r="M468" s="416"/>
      <c r="N468" s="416"/>
      <c r="O468" s="416"/>
      <c r="P468" s="418" t="s">
        <v>241</v>
      </c>
      <c r="Q468" s="418"/>
      <c r="R468" s="376"/>
      <c r="S468" s="370">
        <f>VLOOKUP(Table2[[#This Row],[Course Title]],'TSD-Data'!$A$1:$E$70,4,FALSE)</f>
        <v>25</v>
      </c>
      <c r="T468" s="377">
        <f>VLOOKUP(Table2[[#This Row],[Course Title]],'TSD-Data'!$A$1:$F$70,6,FALSE)</f>
        <v>24</v>
      </c>
      <c r="U468" s="378">
        <f>VLOOKUP(Table2[[#This Row],[Course Title]],'TSD-Data'!$A$1:$F$70,5,FALSE)</f>
        <v>3</v>
      </c>
      <c r="V468" s="379">
        <v>25</v>
      </c>
      <c r="W468" s="377"/>
      <c r="X468" s="377"/>
      <c r="Y468" s="420"/>
      <c r="Z468" s="420"/>
      <c r="AA468" s="415"/>
      <c r="AB468" s="415"/>
      <c r="AC468" s="421"/>
      <c r="AD468" s="421"/>
      <c r="AE468" s="420">
        <v>456</v>
      </c>
      <c r="AF468" s="415">
        <v>1</v>
      </c>
      <c r="AG468" s="403">
        <v>1</v>
      </c>
      <c r="AH468" s="403">
        <v>1</v>
      </c>
      <c r="AI468" s="403">
        <v>0</v>
      </c>
      <c r="AJ468" s="403">
        <v>24</v>
      </c>
      <c r="AK468" s="415"/>
      <c r="AL468" s="400">
        <v>4</v>
      </c>
      <c r="AM468" s="403" t="str">
        <f>VLOOKUP(Table2[[#This Row],[Course Title]],'TSD-Data'!$A$1:$G$70,7,FALSE)</f>
        <v>N4</v>
      </c>
    </row>
    <row r="469" spans="1:39" s="380" customFormat="1" x14ac:dyDescent="0.25">
      <c r="A469" s="413" t="s">
        <v>744</v>
      </c>
      <c r="B469" s="414" t="s">
        <v>28</v>
      </c>
      <c r="C469" s="370" t="str">
        <f>VLOOKUP(Table2[[#This Row],[Course Title]],'TSD-Data'!$A$1:$E$70,2,FALSE)</f>
        <v>A-493-0013</v>
      </c>
      <c r="D469" s="370">
        <f>VLOOKUP(Table2[[#This Row],[Course Title]],'TSD-Data'!$A$1:$E$70,3,FALSE)</f>
        <v>3683</v>
      </c>
      <c r="E469" s="414" t="s">
        <v>305</v>
      </c>
      <c r="F469" s="416">
        <v>46260</v>
      </c>
      <c r="G469" s="416">
        <v>46262</v>
      </c>
      <c r="H469" s="426" t="s">
        <v>753</v>
      </c>
      <c r="I469" s="417">
        <v>0.33333333333333331</v>
      </c>
      <c r="J469" s="417"/>
      <c r="K469" s="416"/>
      <c r="L469" s="416"/>
      <c r="M469" s="416"/>
      <c r="N469" s="416"/>
      <c r="O469" s="416"/>
      <c r="P469" s="418" t="s">
        <v>241</v>
      </c>
      <c r="Q469" s="418"/>
      <c r="R469" s="376"/>
      <c r="S469" s="370">
        <f>VLOOKUP(Table2[[#This Row],[Course Title]],'TSD-Data'!$A$1:$E$70,4,FALSE)</f>
        <v>40</v>
      </c>
      <c r="T469" s="377">
        <f>VLOOKUP(Table2[[#This Row],[Course Title]],'TSD-Data'!$A$1:$F$70,6,FALSE)</f>
        <v>24</v>
      </c>
      <c r="U469" s="378">
        <f>VLOOKUP(Table2[[#This Row],[Course Title]],'TSD-Data'!$A$1:$F$70,5,FALSE)</f>
        <v>3</v>
      </c>
      <c r="V469" s="379">
        <v>20</v>
      </c>
      <c r="W469" s="377"/>
      <c r="X469" s="377"/>
      <c r="Y469" s="420"/>
      <c r="Z469" s="420"/>
      <c r="AA469" s="415"/>
      <c r="AB469" s="415"/>
      <c r="AC469" s="421"/>
      <c r="AD469" s="421"/>
      <c r="AE469" s="420">
        <v>457</v>
      </c>
      <c r="AF469" s="415">
        <v>1</v>
      </c>
      <c r="AG469" s="403">
        <v>1</v>
      </c>
      <c r="AH469" s="403">
        <v>1</v>
      </c>
      <c r="AI469" s="403">
        <v>0</v>
      </c>
      <c r="AJ469" s="403">
        <v>24</v>
      </c>
      <c r="AK469" s="415"/>
      <c r="AL469" s="400">
        <v>4</v>
      </c>
      <c r="AM469" s="403" t="str">
        <f>VLOOKUP(Table2[[#This Row],[Course Title]],'TSD-Data'!$A$1:$G$70,7,FALSE)</f>
        <v>N4</v>
      </c>
    </row>
    <row r="470" spans="1:39" s="380" customFormat="1" x14ac:dyDescent="0.25">
      <c r="A470" s="413"/>
      <c r="B470" s="369" t="s">
        <v>31</v>
      </c>
      <c r="C470" s="370" t="str">
        <f>VLOOKUP(Table2[[#This Row],[Course Title]],'TSD-Data'!$A$1:$E$70,2,FALSE)</f>
        <v>A-493-0083</v>
      </c>
      <c r="D470" s="370" t="str">
        <f>VLOOKUP(Table2[[#This Row],[Course Title]],'TSD-Data'!$A$1:$E$70,3,FALSE)</f>
        <v>339E</v>
      </c>
      <c r="E470" s="414" t="s">
        <v>290</v>
      </c>
      <c r="F470" s="416">
        <v>46262</v>
      </c>
      <c r="G470" s="416">
        <v>46262</v>
      </c>
      <c r="H470" s="426" t="s">
        <v>753</v>
      </c>
      <c r="I470" s="417">
        <v>0.33333333333333331</v>
      </c>
      <c r="J470" s="417"/>
      <c r="K470" s="416"/>
      <c r="L470" s="416"/>
      <c r="M470" s="416"/>
      <c r="N470" s="416"/>
      <c r="O470" s="416"/>
      <c r="P470" s="418" t="s">
        <v>241</v>
      </c>
      <c r="Q470" s="418"/>
      <c r="R470" s="376"/>
      <c r="S470" s="370">
        <f>VLOOKUP(Table2[[#This Row],[Course Title]],'TSD-Data'!$A$1:$E$70,4,FALSE)</f>
        <v>30</v>
      </c>
      <c r="T470" s="377">
        <f>VLOOKUP(Table2[[#This Row],[Course Title]],'TSD-Data'!$A$1:$F$70,6,FALSE)</f>
        <v>8</v>
      </c>
      <c r="U470" s="378">
        <f>VLOOKUP(Table2[[#This Row],[Course Title]],'TSD-Data'!$A$1:$F$70,5,FALSE)</f>
        <v>1</v>
      </c>
      <c r="V470" s="379">
        <v>30</v>
      </c>
      <c r="W470" s="377"/>
      <c r="X470" s="377"/>
      <c r="Y470" s="420"/>
      <c r="Z470" s="420"/>
      <c r="AA470" s="415"/>
      <c r="AB470" s="415"/>
      <c r="AC470" s="421"/>
      <c r="AD470" s="421"/>
      <c r="AE470" s="420">
        <v>457</v>
      </c>
      <c r="AF470" s="415">
        <v>1</v>
      </c>
      <c r="AG470" s="403">
        <v>1</v>
      </c>
      <c r="AH470" s="403">
        <v>1</v>
      </c>
      <c r="AI470" s="403">
        <v>0</v>
      </c>
      <c r="AJ470" s="403">
        <v>8</v>
      </c>
      <c r="AK470" s="415"/>
      <c r="AL470" s="400">
        <v>4</v>
      </c>
      <c r="AM470" s="403" t="str">
        <f>VLOOKUP(Table2[[#This Row],[Course Title]],'TSD-Data'!$A$1:$G$70,7,FALSE)</f>
        <v>N4</v>
      </c>
    </row>
    <row r="471" spans="1:39" s="380" customFormat="1" x14ac:dyDescent="0.25">
      <c r="A471" s="413" t="s">
        <v>745</v>
      </c>
      <c r="B471" s="414" t="s">
        <v>28</v>
      </c>
      <c r="C471" s="370" t="str">
        <f>VLOOKUP(Table2[[#This Row],[Course Title]],'TSD-Data'!$A$1:$E$70,2,FALSE)</f>
        <v>A-493-0013</v>
      </c>
      <c r="D471" s="370">
        <f>VLOOKUP(Table2[[#This Row],[Course Title]],'TSD-Data'!$A$1:$E$70,3,FALSE)</f>
        <v>3683</v>
      </c>
      <c r="E471" s="414" t="s">
        <v>161</v>
      </c>
      <c r="F471" s="416">
        <v>46265</v>
      </c>
      <c r="G471" s="416">
        <v>46267</v>
      </c>
      <c r="H471" s="426" t="s">
        <v>753</v>
      </c>
      <c r="I471" s="417">
        <v>0.33333333333333331</v>
      </c>
      <c r="J471" s="417"/>
      <c r="K471" s="416"/>
      <c r="L471" s="416"/>
      <c r="M471" s="416"/>
      <c r="N471" s="416"/>
      <c r="O471" s="416"/>
      <c r="P471" s="418" t="s">
        <v>241</v>
      </c>
      <c r="Q471" s="418"/>
      <c r="R471" s="376"/>
      <c r="S471" s="370">
        <f>VLOOKUP(Table2[[#This Row],[Course Title]],'TSD-Data'!$A$1:$E$70,4,FALSE)</f>
        <v>40</v>
      </c>
      <c r="T471" s="377">
        <f>VLOOKUP(Table2[[#This Row],[Course Title]],'TSD-Data'!$A$1:$F$70,6,FALSE)</f>
        <v>24</v>
      </c>
      <c r="U471" s="378">
        <f>VLOOKUP(Table2[[#This Row],[Course Title]],'TSD-Data'!$A$1:$F$70,5,FALSE)</f>
        <v>3</v>
      </c>
      <c r="V471" s="379">
        <v>8</v>
      </c>
      <c r="W471" s="377"/>
      <c r="X471" s="377"/>
      <c r="Y471" s="420"/>
      <c r="Z471" s="420"/>
      <c r="AA471" s="415"/>
      <c r="AB471" s="415"/>
      <c r="AC471" s="421"/>
      <c r="AD471" s="421"/>
      <c r="AE471" s="420">
        <v>462</v>
      </c>
      <c r="AF471" s="415">
        <v>1</v>
      </c>
      <c r="AG471" s="403">
        <v>1</v>
      </c>
      <c r="AH471" s="403">
        <v>1</v>
      </c>
      <c r="AI471" s="403">
        <v>0</v>
      </c>
      <c r="AJ471" s="403">
        <v>24</v>
      </c>
      <c r="AK471" s="415"/>
      <c r="AL471" s="400">
        <v>4</v>
      </c>
      <c r="AM471" s="403" t="str">
        <f>VLOOKUP(Table2[[#This Row],[Course Title]],'TSD-Data'!$A$1:$G$70,7,FALSE)</f>
        <v>N4</v>
      </c>
    </row>
    <row r="472" spans="1:39" s="380" customFormat="1" x14ac:dyDescent="0.25">
      <c r="A472" s="368"/>
      <c r="B472" s="436" t="s">
        <v>49</v>
      </c>
      <c r="C472" s="370" t="str">
        <f>VLOOKUP(Table2[[#This Row],[Course Title]],'TSD-Data'!$A$1:$E$70,2,FALSE)</f>
        <v>A-493-0092</v>
      </c>
      <c r="D472" s="370">
        <f>VLOOKUP(Table2[[#This Row],[Course Title]],'TSD-Data'!$A$1:$E$70,3,FALSE)</f>
        <v>5891</v>
      </c>
      <c r="E472" s="369" t="s">
        <v>157</v>
      </c>
      <c r="F472" s="371">
        <v>46265</v>
      </c>
      <c r="G472" s="371">
        <v>46267</v>
      </c>
      <c r="H472" s="371" t="s">
        <v>752</v>
      </c>
      <c r="I472" s="372">
        <v>0.33333333333333331</v>
      </c>
      <c r="J472" s="372"/>
      <c r="K472" s="371"/>
      <c r="L472" s="371"/>
      <c r="M472" s="371"/>
      <c r="N472" s="371"/>
      <c r="O472" s="371"/>
      <c r="P472" s="375" t="s">
        <v>297</v>
      </c>
      <c r="Q472" s="375"/>
      <c r="R472" s="376" t="s">
        <v>259</v>
      </c>
      <c r="S472" s="370">
        <f>VLOOKUP(Table2[[#This Row],[Course Title]],'TSD-Data'!$A$1:$E$70,4,FALSE)</f>
        <v>25</v>
      </c>
      <c r="T472" s="377">
        <f>VLOOKUP(Table2[[#This Row],[Course Title]],'TSD-Data'!$A$1:$F$70,6,FALSE)</f>
        <v>24</v>
      </c>
      <c r="U472" s="378">
        <f>VLOOKUP(Table2[[#This Row],[Course Title]],'TSD-Data'!$A$1:$F$70,5,FALSE)</f>
        <v>3</v>
      </c>
      <c r="V472" s="379">
        <v>41</v>
      </c>
      <c r="W472" s="377"/>
      <c r="X472" s="377"/>
      <c r="Y472" s="378"/>
      <c r="Z472" s="378"/>
      <c r="AA472" s="370"/>
      <c r="AB472" s="370"/>
      <c r="AC472" s="370"/>
      <c r="AD472" s="370"/>
      <c r="AE472" s="378">
        <f ca="1">Table2[[#This Row],[End Date]]+2-TODAY()</f>
        <v>451</v>
      </c>
      <c r="AF472" s="370">
        <f>IF(ISBLANK(Table2[[#This Row],[Roster Received by]]),1,0)</f>
        <v>1</v>
      </c>
      <c r="AG472" s="377">
        <f ca="1">IF(Table2[[#This Row],[Start Date]]&gt;TODAY(),1,)</f>
        <v>1</v>
      </c>
      <c r="AH472" s="377">
        <f>IF(ISBLANK(Table2[[#This Row],[Primary Instructor]]),0,1)</f>
        <v>1</v>
      </c>
      <c r="AI472" s="377">
        <f>IF(ISBLANK(Table2[[#This Row],[Instructor 2]]),0,1)</f>
        <v>0</v>
      </c>
      <c r="AJ472" s="377">
        <f>Table2[[#This Row],[Course Length (Hours)]]/(SUM(Table2[[#This Row],[1]:[2]]))</f>
        <v>24</v>
      </c>
      <c r="AK472" s="370"/>
      <c r="AL472" s="400">
        <v>4</v>
      </c>
      <c r="AM472" s="403" t="str">
        <f>VLOOKUP(Table2[[#This Row],[Course Title]],'TSD-Data'!$A$1:$G$70,7,FALSE)</f>
        <v>N3</v>
      </c>
    </row>
    <row r="473" spans="1:39" s="380" customFormat="1" x14ac:dyDescent="0.25">
      <c r="A473" s="368" t="s">
        <v>574</v>
      </c>
      <c r="B473" s="369" t="s">
        <v>348</v>
      </c>
      <c r="C473" s="370" t="str">
        <f>VLOOKUP(Table2[[#This Row],[Course Title]],'TSD-Data'!$A$1:$E$70,2,FALSE)</f>
        <v>TBD</v>
      </c>
      <c r="D473" s="370" t="str">
        <f>VLOOKUP(Table2[[#This Row],[Course Title]],'TSD-Data'!$A$1:$E$70,3,FALSE)</f>
        <v>TBD</v>
      </c>
      <c r="E473" s="369" t="s">
        <v>86</v>
      </c>
      <c r="F473" s="371">
        <v>46265</v>
      </c>
      <c r="G473" s="371">
        <v>46268</v>
      </c>
      <c r="H473" s="371" t="s">
        <v>752</v>
      </c>
      <c r="I473" s="372"/>
      <c r="J473" s="372">
        <v>0.33333333333333331</v>
      </c>
      <c r="K473" s="372">
        <v>0.20833333333333334</v>
      </c>
      <c r="L473" s="372">
        <v>0.625</v>
      </c>
      <c r="M473" s="372">
        <v>0.54166666666666663</v>
      </c>
      <c r="N473" s="372">
        <v>8.3333333333333329E-2</v>
      </c>
      <c r="O473" s="372">
        <v>0.875</v>
      </c>
      <c r="P473" s="375" t="s">
        <v>274</v>
      </c>
      <c r="Q473" s="375"/>
      <c r="R473" s="376"/>
      <c r="S473" s="370">
        <f>VLOOKUP(Table2[[#This Row],[Course Title]],'TSD-Data'!$A$1:$E$70,4,FALSE)</f>
        <v>0</v>
      </c>
      <c r="T473" s="377">
        <f>VLOOKUP(Table2[[#This Row],[Course Title]],'TSD-Data'!$A$1:$F$70,6,FALSE)</f>
        <v>0</v>
      </c>
      <c r="U473" s="378">
        <f>VLOOKUP(Table2[[#This Row],[Course Title]],'TSD-Data'!$A$1:$F$70,5,FALSE)</f>
        <v>0</v>
      </c>
      <c r="V473" s="379">
        <v>0</v>
      </c>
      <c r="W473" s="377"/>
      <c r="X473" s="377"/>
      <c r="Y473" s="378"/>
      <c r="Z473" s="378"/>
      <c r="AA473" s="370"/>
      <c r="AB473" s="370"/>
      <c r="AC473" s="370"/>
      <c r="AD473" s="370"/>
      <c r="AE473" s="378">
        <f ca="1">Table2[[#This Row],[End Date]]+2-TODAY()</f>
        <v>452</v>
      </c>
      <c r="AF473" s="370">
        <f>IF(ISBLANK(Table2[[#This Row],[Roster Received by]]),1,0)</f>
        <v>1</v>
      </c>
      <c r="AG473" s="377">
        <f ca="1">IF(Table2[[#This Row],[Start Date]]&gt;TODAY(),1,)</f>
        <v>1</v>
      </c>
      <c r="AH473" s="377">
        <f>IF(ISBLANK(Table2[[#This Row],[Primary Instructor]]),0,1)</f>
        <v>1</v>
      </c>
      <c r="AI473" s="377">
        <f>IF(ISBLANK(Table2[[#This Row],[Instructor 2]]),0,1)</f>
        <v>0</v>
      </c>
      <c r="AJ473" s="377">
        <f>Table2[[#This Row],[Course Length (Hours)]]/(SUM(Table2[[#This Row],[1]:[2]]))</f>
        <v>0</v>
      </c>
      <c r="AK473" s="370"/>
      <c r="AL473" s="400">
        <v>4</v>
      </c>
      <c r="AM473" s="403" t="str">
        <f>VLOOKUP(Table2[[#This Row],[Course Title]],'TSD-Data'!$A$1:$G$70,7,FALSE)</f>
        <v>N5</v>
      </c>
    </row>
    <row r="474" spans="1:39" s="380" customFormat="1" x14ac:dyDescent="0.25">
      <c r="A474" s="413" t="s">
        <v>746</v>
      </c>
      <c r="B474" s="414" t="s">
        <v>28</v>
      </c>
      <c r="C474" s="370" t="str">
        <f>VLOOKUP(Table2[[#This Row],[Course Title]],'TSD-Data'!$A$1:$E$70,2,FALSE)</f>
        <v>A-493-0013</v>
      </c>
      <c r="D474" s="370">
        <f>VLOOKUP(Table2[[#This Row],[Course Title]],'TSD-Data'!$A$1:$E$70,3,FALSE)</f>
        <v>3683</v>
      </c>
      <c r="E474" s="414" t="s">
        <v>326</v>
      </c>
      <c r="F474" s="416">
        <v>46266</v>
      </c>
      <c r="G474" s="416">
        <v>46268</v>
      </c>
      <c r="H474" s="426" t="s">
        <v>753</v>
      </c>
      <c r="I474" s="417">
        <v>0.33333333333333331</v>
      </c>
      <c r="J474" s="417"/>
      <c r="K474" s="416"/>
      <c r="L474" s="416"/>
      <c r="M474" s="416"/>
      <c r="N474" s="416"/>
      <c r="O474" s="416"/>
      <c r="P474" s="418" t="s">
        <v>241</v>
      </c>
      <c r="Q474" s="418"/>
      <c r="R474" s="376"/>
      <c r="S474" s="370">
        <f>VLOOKUP(Table2[[#This Row],[Course Title]],'TSD-Data'!$A$1:$E$70,4,FALSE)</f>
        <v>40</v>
      </c>
      <c r="T474" s="377">
        <f>VLOOKUP(Table2[[#This Row],[Course Title]],'TSD-Data'!$A$1:$F$70,6,FALSE)</f>
        <v>24</v>
      </c>
      <c r="U474" s="378">
        <f>VLOOKUP(Table2[[#This Row],[Course Title]],'TSD-Data'!$A$1:$F$70,5,FALSE)</f>
        <v>3</v>
      </c>
      <c r="V474" s="379">
        <v>30</v>
      </c>
      <c r="W474" s="377"/>
      <c r="X474" s="377"/>
      <c r="Y474" s="420"/>
      <c r="Z474" s="420"/>
      <c r="AA474" s="415"/>
      <c r="AB474" s="415"/>
      <c r="AC474" s="421"/>
      <c r="AD474" s="421"/>
      <c r="AE474" s="420">
        <v>463</v>
      </c>
      <c r="AF474" s="415">
        <v>1</v>
      </c>
      <c r="AG474" s="403">
        <v>1</v>
      </c>
      <c r="AH474" s="403">
        <v>1</v>
      </c>
      <c r="AI474" s="403">
        <v>0</v>
      </c>
      <c r="AJ474" s="403">
        <v>24</v>
      </c>
      <c r="AK474" s="415"/>
      <c r="AL474" s="400">
        <v>4</v>
      </c>
      <c r="AM474" s="403" t="str">
        <f>VLOOKUP(Table2[[#This Row],[Course Title]],'TSD-Data'!$A$1:$G$70,7,FALSE)</f>
        <v>N4</v>
      </c>
    </row>
    <row r="475" spans="1:39" s="380" customFormat="1" x14ac:dyDescent="0.25">
      <c r="A475" s="368"/>
      <c r="B475" s="435" t="s">
        <v>50</v>
      </c>
      <c r="C475" s="370" t="str">
        <f>VLOOKUP(Table2[[#This Row],[Course Title]],'TSD-Data'!$A$1:$E$70,2,FALSE)</f>
        <v>A-493-0331</v>
      </c>
      <c r="D475" s="370" t="str">
        <f>VLOOKUP(Table2[[#This Row],[Course Title]],'TSD-Data'!$A$1:$E$70,3,FALSE)</f>
        <v>10UG</v>
      </c>
      <c r="E475" s="369" t="s">
        <v>86</v>
      </c>
      <c r="F475" s="371">
        <v>46266</v>
      </c>
      <c r="G475" s="371">
        <v>46268</v>
      </c>
      <c r="H475" s="371" t="s">
        <v>752</v>
      </c>
      <c r="I475" s="372"/>
      <c r="J475" s="440">
        <v>0.79166666666666663</v>
      </c>
      <c r="K475" s="439">
        <v>0.66666666666666663</v>
      </c>
      <c r="L475" s="439">
        <v>8.3333333333333329E-2</v>
      </c>
      <c r="M475" s="439">
        <v>0</v>
      </c>
      <c r="N475" s="439">
        <v>0.54166666666666663</v>
      </c>
      <c r="O475" s="439">
        <v>0.33333333333333331</v>
      </c>
      <c r="P475" s="375" t="s">
        <v>233</v>
      </c>
      <c r="Q475" s="375"/>
      <c r="R475" s="376"/>
      <c r="S475" s="370">
        <f>VLOOKUP(Table2[[#This Row],[Course Title]],'TSD-Data'!$A$1:$E$70,4,FALSE)</f>
        <v>45</v>
      </c>
      <c r="T475" s="377">
        <f>VLOOKUP(Table2[[#This Row],[Course Title]],'TSD-Data'!$A$1:$F$70,6,FALSE)</f>
        <v>24</v>
      </c>
      <c r="U475" s="378">
        <f>VLOOKUP(Table2[[#This Row],[Course Title]],'TSD-Data'!$A$1:$F$70,5,FALSE)</f>
        <v>3</v>
      </c>
      <c r="V475" s="379">
        <v>183</v>
      </c>
      <c r="W475" s="377"/>
      <c r="X475" s="377"/>
      <c r="Y475" s="378"/>
      <c r="Z475" s="378"/>
      <c r="AA475" s="370"/>
      <c r="AB475" s="370"/>
      <c r="AC475" s="370"/>
      <c r="AD475" s="370"/>
      <c r="AE475" s="378">
        <f ca="1">Table2[[#This Row],[End Date]]+2-TODAY()</f>
        <v>452</v>
      </c>
      <c r="AF475" s="370">
        <f>IF(ISBLANK(Table2[[#This Row],[Roster Received by]]),1,0)</f>
        <v>1</v>
      </c>
      <c r="AG475" s="377">
        <f ca="1">IF(Table2[[#This Row],[Start Date]]&gt;TODAY(),1,)</f>
        <v>1</v>
      </c>
      <c r="AH475" s="377">
        <f>IF(ISBLANK(Table2[[#This Row],[Primary Instructor]]),0,1)</f>
        <v>1</v>
      </c>
      <c r="AI475" s="377">
        <f>IF(ISBLANK(Table2[[#This Row],[Instructor 2]]),0,1)</f>
        <v>0</v>
      </c>
      <c r="AJ475" s="377">
        <f>Table2[[#This Row],[Course Length (Hours)]]/(SUM(Table2[[#This Row],[1]:[2]]))</f>
        <v>24</v>
      </c>
      <c r="AK475" s="370"/>
      <c r="AL475" s="400">
        <v>4</v>
      </c>
      <c r="AM475" s="403" t="str">
        <f>VLOOKUP(Table2[[#This Row],[Course Title]],'TSD-Data'!$A$1:$G$70,7,FALSE)</f>
        <v>N3</v>
      </c>
    </row>
    <row r="476" spans="1:39" s="380" customFormat="1" x14ac:dyDescent="0.25">
      <c r="A476" s="368"/>
      <c r="B476" s="369" t="s">
        <v>57</v>
      </c>
      <c r="C476" s="370" t="str">
        <f>VLOOKUP(Table2[[#This Row],[Course Title]],'TSD-Data'!$A$1:$E$70,2,FALSE)</f>
        <v>A-493-0099</v>
      </c>
      <c r="D476" s="370" t="str">
        <f>VLOOKUP(Table2[[#This Row],[Course Title]],'TSD-Data'!$A$1:$E$70,3,FALSE)</f>
        <v>12JW</v>
      </c>
      <c r="E476" s="369" t="s">
        <v>86</v>
      </c>
      <c r="F476" s="371">
        <v>46267</v>
      </c>
      <c r="G476" s="371">
        <v>46269</v>
      </c>
      <c r="H476" s="371" t="s">
        <v>752</v>
      </c>
      <c r="I476" s="372"/>
      <c r="J476" s="440">
        <v>0.79166666666666663</v>
      </c>
      <c r="K476" s="439">
        <v>0.66666666666666663</v>
      </c>
      <c r="L476" s="439">
        <v>8.3333333333333329E-2</v>
      </c>
      <c r="M476" s="439">
        <v>0</v>
      </c>
      <c r="N476" s="439">
        <v>0.54166666666666663</v>
      </c>
      <c r="O476" s="439">
        <v>0.33333333333333331</v>
      </c>
      <c r="P476" s="375" t="s">
        <v>277</v>
      </c>
      <c r="Q476" s="375"/>
      <c r="R476" s="376"/>
      <c r="S476" s="370">
        <f>VLOOKUP(Table2[[#This Row],[Course Title]],'TSD-Data'!$A$1:$E$70,4,FALSE)</f>
        <v>45</v>
      </c>
      <c r="T476" s="377">
        <f>VLOOKUP(Table2[[#This Row],[Course Title]],'TSD-Data'!$A$1:$F$70,6,FALSE)</f>
        <v>24</v>
      </c>
      <c r="U476" s="378">
        <f>VLOOKUP(Table2[[#This Row],[Course Title]],'TSD-Data'!$A$1:$F$70,5,FALSE)</f>
        <v>3</v>
      </c>
      <c r="V476" s="379">
        <v>224</v>
      </c>
      <c r="W476" s="377"/>
      <c r="X476" s="377"/>
      <c r="Y476" s="378"/>
      <c r="Z476" s="378"/>
      <c r="AA476" s="370"/>
      <c r="AB476" s="370"/>
      <c r="AC476" s="370"/>
      <c r="AD476" s="370"/>
      <c r="AE476" s="378">
        <f ca="1">Table2[[#This Row],[End Date]]+2-TODAY()</f>
        <v>453</v>
      </c>
      <c r="AF476" s="370">
        <f>IF(ISBLANK(Table2[[#This Row],[Roster Received by]]),1,0)</f>
        <v>1</v>
      </c>
      <c r="AG476" s="377">
        <f ca="1">IF(Table2[[#This Row],[Start Date]]&gt;TODAY(),1,)</f>
        <v>1</v>
      </c>
      <c r="AH476" s="377">
        <f>IF(ISBLANK(Table2[[#This Row],[Primary Instructor]]),0,1)</f>
        <v>1</v>
      </c>
      <c r="AI476" s="377">
        <f>IF(ISBLANK(Table2[[#This Row],[Instructor 2]]),0,1)</f>
        <v>0</v>
      </c>
      <c r="AJ476" s="377">
        <f>Table2[[#This Row],[Course Length (Hours)]]/(SUM(Table2[[#This Row],[1]:[2]]))</f>
        <v>24</v>
      </c>
      <c r="AK476" s="370"/>
      <c r="AL476" s="400">
        <v>4</v>
      </c>
      <c r="AM476" s="403" t="str">
        <f>VLOOKUP(Table2[[#This Row],[Course Title]],'TSD-Data'!$A$1:$G$70,7,FALSE)</f>
        <v>N5</v>
      </c>
    </row>
    <row r="477" spans="1:39" s="380" customFormat="1" x14ac:dyDescent="0.25">
      <c r="A477" s="369" t="s">
        <v>487</v>
      </c>
      <c r="B477" s="369" t="s">
        <v>181</v>
      </c>
      <c r="C477" s="370" t="str">
        <f>VLOOKUP(Table2[[#This Row],[Course Title]],'TSD-Data'!$A$1:$E$70,2,FALSE)</f>
        <v>Holiday</v>
      </c>
      <c r="D477" s="370" t="str">
        <f>VLOOKUP(Table2[[#This Row],[Course Title]],'TSD-Data'!$A$1:$E$70,3,FALSE)</f>
        <v>Holiday</v>
      </c>
      <c r="E477" s="369" t="s">
        <v>181</v>
      </c>
      <c r="F477" s="371">
        <v>46272</v>
      </c>
      <c r="G477" s="371">
        <v>46272</v>
      </c>
      <c r="H477" s="371" t="s">
        <v>788</v>
      </c>
      <c r="I477" s="372"/>
      <c r="J477" s="372"/>
      <c r="K477" s="371"/>
      <c r="L477" s="371"/>
      <c r="M477" s="371"/>
      <c r="N477" s="371"/>
      <c r="O477" s="371"/>
      <c r="P477" s="375" t="s">
        <v>322</v>
      </c>
      <c r="Q477" s="375"/>
      <c r="R477" s="398"/>
      <c r="S477" s="370">
        <f>VLOOKUP(Table2[[#This Row],[Course Title]],'TSD-Data'!$A$1:$E$70,4,FALSE)</f>
        <v>0</v>
      </c>
      <c r="T477" s="377">
        <f>VLOOKUP(Table2[[#This Row],[Course Title]],'TSD-Data'!$A$1:$F$70,6,FALSE)</f>
        <v>0</v>
      </c>
      <c r="U477" s="378">
        <f>VLOOKUP(Table2[[#This Row],[Course Title]],'TSD-Data'!$A$1:$F$70,5,FALSE)</f>
        <v>0</v>
      </c>
      <c r="V477" s="379">
        <v>0</v>
      </c>
      <c r="W477" s="377">
        <v>0</v>
      </c>
      <c r="X477" s="377">
        <v>0</v>
      </c>
      <c r="Y477" s="377">
        <v>0</v>
      </c>
      <c r="Z477" s="377">
        <v>0</v>
      </c>
      <c r="AA477" s="377">
        <v>0</v>
      </c>
      <c r="AB477" s="377">
        <v>0</v>
      </c>
      <c r="AC477" s="377">
        <v>0</v>
      </c>
      <c r="AD477" s="377" t="s">
        <v>247</v>
      </c>
      <c r="AE477" s="379">
        <f ca="1">Table2[[#This Row],[End Date]]+2-TODAY()</f>
        <v>456</v>
      </c>
      <c r="AF477" s="377">
        <f>IF(ISBLANK(Table2[[#This Row],[Roster Received by]]),1,0)</f>
        <v>0</v>
      </c>
      <c r="AG477" s="377">
        <f ca="1">IF(Table2[[#This Row],[Start Date]]&gt;TODAY(),1,)</f>
        <v>1</v>
      </c>
      <c r="AH477" s="377">
        <f>IF(ISBLANK(Table2[[#This Row],[Primary Instructor]]),0,1)</f>
        <v>1</v>
      </c>
      <c r="AI477" s="377">
        <f>IF(ISBLANK(Table2[[#This Row],[Instructor 2]]),0,1)</f>
        <v>0</v>
      </c>
      <c r="AJ477" s="377">
        <f>Table2[[#This Row],[Course Length (Hours)]]/(SUM(Table2[[#This Row],[1]:[2]]))</f>
        <v>0</v>
      </c>
      <c r="AK477" s="377"/>
      <c r="AL477" s="400">
        <v>4</v>
      </c>
      <c r="AM477" s="403" t="str">
        <f>VLOOKUP(Table2[[#This Row],[Course Title]],'TSD-Data'!$A$1:$G$70,7,FALSE)</f>
        <v>TSD</v>
      </c>
    </row>
    <row r="478" spans="1:39" s="380" customFormat="1" x14ac:dyDescent="0.25">
      <c r="A478" s="368"/>
      <c r="B478" s="369" t="s">
        <v>120</v>
      </c>
      <c r="C478" s="370" t="str">
        <f>VLOOKUP(Table2[[#This Row],[Course Title]],'TSD-Data'!$A$1:$E$70,2,FALSE)</f>
        <v>A-322-2604</v>
      </c>
      <c r="D478" s="370" t="str">
        <f>VLOOKUP(Table2[[#This Row],[Course Title]],'TSD-Data'!$A$1:$E$70,3,FALSE)</f>
        <v>10ZZ</v>
      </c>
      <c r="E478" s="369" t="s">
        <v>86</v>
      </c>
      <c r="F478" s="371">
        <v>46273</v>
      </c>
      <c r="G478" s="371">
        <v>46275</v>
      </c>
      <c r="H478" s="371" t="s">
        <v>752</v>
      </c>
      <c r="I478" s="372"/>
      <c r="J478" s="440">
        <v>0.5</v>
      </c>
      <c r="K478" s="439">
        <v>0.375</v>
      </c>
      <c r="L478" s="439">
        <v>0.79166666666666663</v>
      </c>
      <c r="M478" s="439">
        <v>0.75</v>
      </c>
      <c r="N478" s="439">
        <v>0.25</v>
      </c>
      <c r="O478" s="439">
        <v>4.1666666666666664E-2</v>
      </c>
      <c r="P478" s="375" t="s">
        <v>248</v>
      </c>
      <c r="Q478" s="375"/>
      <c r="R478" s="376"/>
      <c r="S478" s="370">
        <f>VLOOKUP(Table2[[#This Row],[Course Title]],'TSD-Data'!$A$1:$E$70,4,FALSE)</f>
        <v>45</v>
      </c>
      <c r="T478" s="377">
        <f>VLOOKUP(Table2[[#This Row],[Course Title]],'TSD-Data'!$A$1:$F$70,6,FALSE)</f>
        <v>24</v>
      </c>
      <c r="U478" s="378">
        <f>VLOOKUP(Table2[[#This Row],[Course Title]],'TSD-Data'!$A$1:$F$70,5,FALSE)</f>
        <v>3</v>
      </c>
      <c r="V478" s="379">
        <v>621</v>
      </c>
      <c r="W478" s="377"/>
      <c r="X478" s="377"/>
      <c r="Y478" s="378"/>
      <c r="Z478" s="378"/>
      <c r="AA478" s="370"/>
      <c r="AB478" s="370"/>
      <c r="AC478" s="370"/>
      <c r="AD478" s="370"/>
      <c r="AE478" s="378">
        <f ca="1">Table2[[#This Row],[End Date]]+2-TODAY()</f>
        <v>459</v>
      </c>
      <c r="AF478" s="370">
        <f>IF(ISBLANK(Table2[[#This Row],[Roster Received by]]),1,0)</f>
        <v>1</v>
      </c>
      <c r="AG478" s="377">
        <f ca="1">IF(Table2[[#This Row],[Start Date]]&gt;TODAY(),1,)</f>
        <v>1</v>
      </c>
      <c r="AH478" s="377">
        <f>IF(ISBLANK(Table2[[#This Row],[Primary Instructor]]),0,1)</f>
        <v>1</v>
      </c>
      <c r="AI478" s="377">
        <f>IF(ISBLANK(Table2[[#This Row],[Instructor 2]]),0,1)</f>
        <v>0</v>
      </c>
      <c r="AJ478" s="377">
        <f>Table2[[#This Row],[Course Length (Hours)]]/(SUM(Table2[[#This Row],[1]:[2]]))</f>
        <v>24</v>
      </c>
      <c r="AK478" s="370"/>
      <c r="AL478" s="400">
        <v>4</v>
      </c>
      <c r="AM478" s="403" t="str">
        <f>VLOOKUP(Table2[[#This Row],[Course Title]],'TSD-Data'!$A$1:$G$70,7,FALSE)</f>
        <v>N3</v>
      </c>
    </row>
    <row r="479" spans="1:39" s="380" customFormat="1" x14ac:dyDescent="0.25">
      <c r="A479" s="413" t="s">
        <v>747</v>
      </c>
      <c r="B479" s="414" t="s">
        <v>28</v>
      </c>
      <c r="C479" s="370" t="str">
        <f>VLOOKUP(Table2[[#This Row],[Course Title]],'TSD-Data'!$A$1:$E$70,2,FALSE)</f>
        <v>A-493-0013</v>
      </c>
      <c r="D479" s="370">
        <f>VLOOKUP(Table2[[#This Row],[Course Title]],'TSD-Data'!$A$1:$E$70,3,FALSE)</f>
        <v>3683</v>
      </c>
      <c r="E479" s="414" t="s">
        <v>166</v>
      </c>
      <c r="F479" s="416">
        <v>46274</v>
      </c>
      <c r="G479" s="416">
        <v>46276</v>
      </c>
      <c r="H479" s="426" t="s">
        <v>753</v>
      </c>
      <c r="I479" s="417">
        <v>0.33333333333333331</v>
      </c>
      <c r="J479" s="417"/>
      <c r="K479" s="416"/>
      <c r="L479" s="416"/>
      <c r="M479" s="416"/>
      <c r="N479" s="416"/>
      <c r="O479" s="416"/>
      <c r="P479" s="418" t="s">
        <v>241</v>
      </c>
      <c r="Q479" s="418"/>
      <c r="R479" s="376"/>
      <c r="S479" s="370">
        <f>VLOOKUP(Table2[[#This Row],[Course Title]],'TSD-Data'!$A$1:$E$70,4,FALSE)</f>
        <v>40</v>
      </c>
      <c r="T479" s="377">
        <f>VLOOKUP(Table2[[#This Row],[Course Title]],'TSD-Data'!$A$1:$F$70,6,FALSE)</f>
        <v>24</v>
      </c>
      <c r="U479" s="378">
        <f>VLOOKUP(Table2[[#This Row],[Course Title]],'TSD-Data'!$A$1:$F$70,5,FALSE)</f>
        <v>3</v>
      </c>
      <c r="V479" s="379">
        <v>10</v>
      </c>
      <c r="W479" s="377"/>
      <c r="X479" s="377"/>
      <c r="Y479" s="420"/>
      <c r="Z479" s="420"/>
      <c r="AA479" s="415"/>
      <c r="AB479" s="415"/>
      <c r="AC479" s="421"/>
      <c r="AD479" s="421"/>
      <c r="AE479" s="420">
        <v>471</v>
      </c>
      <c r="AF479" s="415">
        <v>1</v>
      </c>
      <c r="AG479" s="403">
        <v>1</v>
      </c>
      <c r="AH479" s="403">
        <v>1</v>
      </c>
      <c r="AI479" s="403">
        <v>0</v>
      </c>
      <c r="AJ479" s="403">
        <v>24</v>
      </c>
      <c r="AK479" s="415"/>
      <c r="AL479" s="400">
        <v>4</v>
      </c>
      <c r="AM479" s="403" t="str">
        <f>VLOOKUP(Table2[[#This Row],[Course Title]],'TSD-Data'!$A$1:$G$70,7,FALSE)</f>
        <v>N4</v>
      </c>
    </row>
    <row r="480" spans="1:39" s="380" customFormat="1" x14ac:dyDescent="0.25">
      <c r="A480" s="413"/>
      <c r="B480" s="369" t="s">
        <v>29</v>
      </c>
      <c r="C480" s="370" t="str">
        <f>VLOOKUP(Table2[[#This Row],[Course Title]],'TSD-Data'!$A$1:$E$70,2,FALSE)</f>
        <v>A-493-0077</v>
      </c>
      <c r="D480" s="370" t="str">
        <f>VLOOKUP(Table2[[#This Row],[Course Title]],'TSD-Data'!$A$1:$E$70,3,FALSE)</f>
        <v>0381</v>
      </c>
      <c r="E480" s="414" t="s">
        <v>401</v>
      </c>
      <c r="F480" s="416">
        <v>46274</v>
      </c>
      <c r="G480" s="416">
        <v>46276</v>
      </c>
      <c r="H480" s="426" t="s">
        <v>753</v>
      </c>
      <c r="I480" s="417">
        <v>0.33333333333333331</v>
      </c>
      <c r="J480" s="417"/>
      <c r="K480" s="416"/>
      <c r="L480" s="416"/>
      <c r="M480" s="416"/>
      <c r="N480" s="416"/>
      <c r="O480" s="416"/>
      <c r="P480" s="418" t="s">
        <v>241</v>
      </c>
      <c r="Q480" s="418"/>
      <c r="R480" s="376"/>
      <c r="S480" s="370">
        <f>VLOOKUP(Table2[[#This Row],[Course Title]],'TSD-Data'!$A$1:$E$70,4,FALSE)</f>
        <v>25</v>
      </c>
      <c r="T480" s="377">
        <f>VLOOKUP(Table2[[#This Row],[Course Title]],'TSD-Data'!$A$1:$F$70,6,FALSE)</f>
        <v>24</v>
      </c>
      <c r="U480" s="378">
        <f>VLOOKUP(Table2[[#This Row],[Course Title]],'TSD-Data'!$A$1:$F$70,5,FALSE)</f>
        <v>3</v>
      </c>
      <c r="V480" s="379">
        <v>10</v>
      </c>
      <c r="W480" s="377"/>
      <c r="X480" s="377"/>
      <c r="Y480" s="420"/>
      <c r="Z480" s="420"/>
      <c r="AA480" s="415"/>
      <c r="AB480" s="415"/>
      <c r="AC480" s="421"/>
      <c r="AD480" s="421"/>
      <c r="AE480" s="420">
        <v>471</v>
      </c>
      <c r="AF480" s="415">
        <v>1</v>
      </c>
      <c r="AG480" s="403">
        <v>1</v>
      </c>
      <c r="AH480" s="403">
        <v>1</v>
      </c>
      <c r="AI480" s="403">
        <v>0</v>
      </c>
      <c r="AJ480" s="403">
        <v>24</v>
      </c>
      <c r="AK480" s="415"/>
      <c r="AL480" s="400">
        <v>4</v>
      </c>
      <c r="AM480" s="403" t="str">
        <f>VLOOKUP(Table2[[#This Row],[Course Title]],'TSD-Data'!$A$1:$G$70,7,FALSE)</f>
        <v>N4</v>
      </c>
    </row>
    <row r="481" spans="1:39" s="380" customFormat="1" x14ac:dyDescent="0.25">
      <c r="A481" s="368"/>
      <c r="B481" s="436" t="s">
        <v>49</v>
      </c>
      <c r="C481" s="370" t="str">
        <f>VLOOKUP(Table2[[#This Row],[Course Title]],'TSD-Data'!$A$1:$E$70,2,FALSE)</f>
        <v>A-493-0092</v>
      </c>
      <c r="D481" s="370">
        <f>VLOOKUP(Table2[[#This Row],[Course Title]],'TSD-Data'!$A$1:$E$70,3,FALSE)</f>
        <v>5891</v>
      </c>
      <c r="E481" s="369" t="s">
        <v>174</v>
      </c>
      <c r="F481" s="371">
        <v>46274</v>
      </c>
      <c r="G481" s="371">
        <v>46276</v>
      </c>
      <c r="H481" s="371" t="s">
        <v>752</v>
      </c>
      <c r="I481" s="372">
        <v>0.33333333333333331</v>
      </c>
      <c r="J481" s="372"/>
      <c r="K481" s="371"/>
      <c r="L481" s="371"/>
      <c r="M481" s="371"/>
      <c r="N481" s="371"/>
      <c r="O481" s="371"/>
      <c r="P481" s="375" t="s">
        <v>292</v>
      </c>
      <c r="Q481" s="375"/>
      <c r="R481" s="376" t="s">
        <v>256</v>
      </c>
      <c r="S481" s="370">
        <f>VLOOKUP(Table2[[#This Row],[Course Title]],'TSD-Data'!$A$1:$E$70,4,FALSE)</f>
        <v>25</v>
      </c>
      <c r="T481" s="377">
        <f>VLOOKUP(Table2[[#This Row],[Course Title]],'TSD-Data'!$A$1:$F$70,6,FALSE)</f>
        <v>24</v>
      </c>
      <c r="U481" s="378">
        <f>VLOOKUP(Table2[[#This Row],[Course Title]],'TSD-Data'!$A$1:$F$70,5,FALSE)</f>
        <v>3</v>
      </c>
      <c r="V481" s="379">
        <v>63</v>
      </c>
      <c r="W481" s="377"/>
      <c r="X481" s="377"/>
      <c r="Y481" s="378"/>
      <c r="Z481" s="378"/>
      <c r="AA481" s="370"/>
      <c r="AB481" s="370"/>
      <c r="AC481" s="370"/>
      <c r="AD481" s="370"/>
      <c r="AE481" s="378">
        <f ca="1">Table2[[#This Row],[End Date]]+2-TODAY()</f>
        <v>460</v>
      </c>
      <c r="AF481" s="370">
        <f>IF(ISBLANK(Table2[[#This Row],[Roster Received by]]),1,0)</f>
        <v>1</v>
      </c>
      <c r="AG481" s="377">
        <f ca="1">IF(Table2[[#This Row],[Start Date]]&gt;TODAY(),1,)</f>
        <v>1</v>
      </c>
      <c r="AH481" s="377">
        <f>IF(ISBLANK(Table2[[#This Row],[Primary Instructor]]),0,1)</f>
        <v>1</v>
      </c>
      <c r="AI481" s="377">
        <f>IF(ISBLANK(Table2[[#This Row],[Instructor 2]]),0,1)</f>
        <v>0</v>
      </c>
      <c r="AJ481" s="377">
        <f>Table2[[#This Row],[Course Length (Hours)]]/(SUM(Table2[[#This Row],[1]:[2]]))</f>
        <v>24</v>
      </c>
      <c r="AK481" s="370"/>
      <c r="AL481" s="400">
        <v>4</v>
      </c>
      <c r="AM481" s="403" t="str">
        <f>VLOOKUP(Table2[[#This Row],[Course Title]],'TSD-Data'!$A$1:$G$70,7,FALSE)</f>
        <v>N3</v>
      </c>
    </row>
    <row r="482" spans="1:39" s="380" customFormat="1" x14ac:dyDescent="0.25">
      <c r="A482" s="369"/>
      <c r="B482" s="432" t="s">
        <v>15</v>
      </c>
      <c r="C482" s="370" t="str">
        <f>VLOOKUP(Table2[[#This Row],[Course Title]],'TSD-Data'!$A$1:$E$70,2,FALSE)</f>
        <v>A-4J-0022</v>
      </c>
      <c r="D482" s="370" t="str">
        <f>VLOOKUP(Table2[[#This Row],[Course Title]],'TSD-Data'!$A$1:$E$70,3,FALSE)</f>
        <v>09ER</v>
      </c>
      <c r="E482" s="432" t="s">
        <v>86</v>
      </c>
      <c r="F482" s="371">
        <v>46279</v>
      </c>
      <c r="G482" s="371">
        <v>46283</v>
      </c>
      <c r="H482" s="371" t="s">
        <v>752</v>
      </c>
      <c r="I482" s="372"/>
      <c r="J482" s="381">
        <v>0.79166666666666663</v>
      </c>
      <c r="K482" s="381">
        <v>0.66666666666666663</v>
      </c>
      <c r="L482" s="381">
        <v>8.3333333333333329E-2</v>
      </c>
      <c r="M482" s="381">
        <v>0</v>
      </c>
      <c r="N482" s="381">
        <v>0.54166666666666663</v>
      </c>
      <c r="O482" s="381">
        <v>0.33333333333333331</v>
      </c>
      <c r="P482" s="375" t="s">
        <v>233</v>
      </c>
      <c r="Q482" s="375"/>
      <c r="R482" s="375"/>
      <c r="S482" s="370">
        <f>VLOOKUP(Table2[[#This Row],[Course Title]],'TSD-Data'!$A$1:$E$70,4,FALSE)</f>
        <v>45</v>
      </c>
      <c r="T482" s="377">
        <f>VLOOKUP(Table2[[#This Row],[Course Title]],'TSD-Data'!$A$1:$F$70,6,FALSE)</f>
        <v>16</v>
      </c>
      <c r="U482" s="378">
        <f>VLOOKUP(Table2[[#This Row],[Course Title]],'TSD-Data'!$A$1:$F$70,5,FALSE)</f>
        <v>2</v>
      </c>
      <c r="V482" s="379">
        <v>63</v>
      </c>
      <c r="W482" s="377"/>
      <c r="X482" s="377"/>
      <c r="Y482" s="379"/>
      <c r="Z482" s="379"/>
      <c r="AA482" s="377"/>
      <c r="AB482" s="377"/>
      <c r="AC482" s="377"/>
      <c r="AD482" s="377"/>
      <c r="AE482" s="379">
        <f ca="1">Table2[[#This Row],[End Date]]+2-TODAY()</f>
        <v>467</v>
      </c>
      <c r="AF482" s="377">
        <f>IF(ISBLANK(Table2[[#This Row],[Roster Received by]]),1,0)</f>
        <v>1</v>
      </c>
      <c r="AG482" s="377">
        <f ca="1">IF(Table2[[#This Row],[Start Date]]&gt;TODAY(),1,)</f>
        <v>1</v>
      </c>
      <c r="AH482" s="377">
        <f>IF(ISBLANK(Table2[[#This Row],[Primary Instructor]]),0,1)</f>
        <v>1</v>
      </c>
      <c r="AI482" s="377">
        <f>IF(ISBLANK(Table2[[#This Row],[Instructor 2]]),0,1)</f>
        <v>0</v>
      </c>
      <c r="AJ482" s="377">
        <f>Table2[[#This Row],[Course Length (Hours)]]/(SUM(Table2[[#This Row],[1]:[2]]))</f>
        <v>16</v>
      </c>
      <c r="AK482" s="377"/>
      <c r="AL482" s="400">
        <v>4</v>
      </c>
      <c r="AM482" s="403" t="str">
        <f>VLOOKUP(Table2[[#This Row],[Course Title]],'TSD-Data'!$A$1:$G$70,7,FALSE)</f>
        <v>N4</v>
      </c>
    </row>
    <row r="483" spans="1:39" s="380" customFormat="1" x14ac:dyDescent="0.25">
      <c r="A483" s="368"/>
      <c r="B483" s="432" t="s">
        <v>55</v>
      </c>
      <c r="C483" s="370" t="str">
        <f>VLOOKUP(Table2[[#This Row],[Course Title]],'TSD-Data'!$A$1:$E$70,2,FALSE)</f>
        <v>A-493-0103</v>
      </c>
      <c r="D483" s="370" t="str">
        <f>VLOOKUP(Table2[[#This Row],[Course Title]],'TSD-Data'!$A$1:$E$70,3,FALSE)</f>
        <v>12JY</v>
      </c>
      <c r="E483" s="369" t="s">
        <v>169</v>
      </c>
      <c r="F483" s="371">
        <v>46279</v>
      </c>
      <c r="G483" s="371">
        <v>46283</v>
      </c>
      <c r="H483" s="371" t="s">
        <v>752</v>
      </c>
      <c r="I483" s="372">
        <v>0.33333333333333331</v>
      </c>
      <c r="J483" s="440"/>
      <c r="K483" s="437"/>
      <c r="L483" s="437"/>
      <c r="M483" s="437"/>
      <c r="N483" s="437"/>
      <c r="O483" s="437"/>
      <c r="P483" s="375" t="s">
        <v>289</v>
      </c>
      <c r="Q483" s="375"/>
      <c r="R483" s="376"/>
      <c r="S483" s="370">
        <f>VLOOKUP(Table2[[#This Row],[Course Title]],'TSD-Data'!$A$1:$E$70,4,FALSE)</f>
        <v>25</v>
      </c>
      <c r="T483" s="377">
        <f>VLOOKUP(Table2[[#This Row],[Course Title]],'TSD-Data'!$A$1:$F$70,6,FALSE)</f>
        <v>40</v>
      </c>
      <c r="U483" s="378">
        <f>VLOOKUP(Table2[[#This Row],[Course Title]],'TSD-Data'!$A$1:$F$70,5,FALSE)</f>
        <v>5</v>
      </c>
      <c r="V483" s="379">
        <v>512</v>
      </c>
      <c r="W483" s="377"/>
      <c r="X483" s="377"/>
      <c r="Y483" s="378"/>
      <c r="Z483" s="378"/>
      <c r="AA483" s="370"/>
      <c r="AB483" s="370"/>
      <c r="AC483" s="370"/>
      <c r="AD483" s="370"/>
      <c r="AE483" s="378">
        <f ca="1">Table2[[#This Row],[End Date]]+2-TODAY()</f>
        <v>467</v>
      </c>
      <c r="AF483" s="370">
        <f>IF(ISBLANK(Table2[[#This Row],[Roster Received by]]),1,0)</f>
        <v>1</v>
      </c>
      <c r="AG483" s="377">
        <f ca="1">IF(Table2[[#This Row],[Start Date]]&gt;TODAY(),1,)</f>
        <v>1</v>
      </c>
      <c r="AH483" s="377">
        <f>IF(ISBLANK(Table2[[#This Row],[Primary Instructor]]),0,1)</f>
        <v>1</v>
      </c>
      <c r="AI483" s="377">
        <f>IF(ISBLANK(Table2[[#This Row],[Instructor 2]]),0,1)</f>
        <v>0</v>
      </c>
      <c r="AJ483" s="377">
        <f>Table2[[#This Row],[Course Length (Hours)]]/(SUM(Table2[[#This Row],[1]:[2]]))</f>
        <v>40</v>
      </c>
      <c r="AK483" s="370"/>
      <c r="AL483" s="400">
        <v>4</v>
      </c>
      <c r="AM483" s="403" t="str">
        <f>VLOOKUP(Table2[[#This Row],[Course Title]],'TSD-Data'!$A$1:$G$70,7,FALSE)</f>
        <v>N5</v>
      </c>
    </row>
    <row r="484" spans="1:39" s="380" customFormat="1" x14ac:dyDescent="0.25">
      <c r="A484" s="368"/>
      <c r="B484" s="432" t="s">
        <v>55</v>
      </c>
      <c r="C484" s="370" t="str">
        <f>VLOOKUP(Table2[[#This Row],[Course Title]],'TSD-Data'!$A$1:$E$70,2,FALSE)</f>
        <v>A-493-0103</v>
      </c>
      <c r="D484" s="370" t="str">
        <f>VLOOKUP(Table2[[#This Row],[Course Title]],'TSD-Data'!$A$1:$E$70,3,FALSE)</f>
        <v>12JY</v>
      </c>
      <c r="E484" s="369" t="s">
        <v>179</v>
      </c>
      <c r="F484" s="371">
        <v>46279</v>
      </c>
      <c r="G484" s="371">
        <v>46283</v>
      </c>
      <c r="H484" s="371" t="s">
        <v>752</v>
      </c>
      <c r="I484" s="372">
        <v>0.33333333333333331</v>
      </c>
      <c r="J484" s="372"/>
      <c r="K484" s="371"/>
      <c r="L484" s="371"/>
      <c r="M484" s="371"/>
      <c r="N484" s="371"/>
      <c r="O484" s="371"/>
      <c r="P484" s="375" t="s">
        <v>289</v>
      </c>
      <c r="Q484" s="375"/>
      <c r="R484" s="376"/>
      <c r="S484" s="370">
        <f>VLOOKUP(Table2[[#This Row],[Course Title]],'TSD-Data'!$A$1:$E$70,4,FALSE)</f>
        <v>25</v>
      </c>
      <c r="T484" s="377">
        <f>VLOOKUP(Table2[[#This Row],[Course Title]],'TSD-Data'!$A$1:$F$70,6,FALSE)</f>
        <v>40</v>
      </c>
      <c r="U484" s="378">
        <f>VLOOKUP(Table2[[#This Row],[Course Title]],'TSD-Data'!$A$1:$F$70,5,FALSE)</f>
        <v>5</v>
      </c>
      <c r="V484" s="379">
        <v>107</v>
      </c>
      <c r="W484" s="377"/>
      <c r="X484" s="377"/>
      <c r="Y484" s="378"/>
      <c r="Z484" s="378"/>
      <c r="AA484" s="370"/>
      <c r="AB484" s="370"/>
      <c r="AC484" s="370"/>
      <c r="AD484" s="370"/>
      <c r="AE484" s="378">
        <f ca="1">Table2[[#This Row],[End Date]]+2-TODAY()</f>
        <v>467</v>
      </c>
      <c r="AF484" s="370">
        <f>IF(ISBLANK(Table2[[#This Row],[Roster Received by]]),1,0)</f>
        <v>1</v>
      </c>
      <c r="AG484" s="377">
        <f ca="1">IF(Table2[[#This Row],[Start Date]]&gt;TODAY(),1,)</f>
        <v>1</v>
      </c>
      <c r="AH484" s="377">
        <f>IF(ISBLANK(Table2[[#This Row],[Primary Instructor]]),0,1)</f>
        <v>1</v>
      </c>
      <c r="AI484" s="377">
        <f>IF(ISBLANK(Table2[[#This Row],[Instructor 2]]),0,1)</f>
        <v>0</v>
      </c>
      <c r="AJ484" s="377">
        <f>Table2[[#This Row],[Course Length (Hours)]]/(SUM(Table2[[#This Row],[1]:[2]]))</f>
        <v>40</v>
      </c>
      <c r="AK484" s="370"/>
      <c r="AL484" s="400">
        <v>4</v>
      </c>
      <c r="AM484" s="403" t="str">
        <f>VLOOKUP(Table2[[#This Row],[Course Title]],'TSD-Data'!$A$1:$G$70,7,FALSE)</f>
        <v>N5</v>
      </c>
    </row>
    <row r="485" spans="1:39" s="380" customFormat="1" x14ac:dyDescent="0.25">
      <c r="A485" s="368"/>
      <c r="B485" s="369" t="s">
        <v>56</v>
      </c>
      <c r="C485" s="370" t="str">
        <f>VLOOKUP(Table2[[#This Row],[Course Title]],'TSD-Data'!$A$1:$E$70,2,FALSE)</f>
        <v>A-493-0021</v>
      </c>
      <c r="D485" s="370" t="str">
        <f>VLOOKUP(Table2[[#This Row],[Course Title]],'TSD-Data'!$A$1:$E$70,3,FALSE)</f>
        <v>18BN</v>
      </c>
      <c r="E485" s="369" t="s">
        <v>170</v>
      </c>
      <c r="F485" s="371">
        <v>46279</v>
      </c>
      <c r="G485" s="371">
        <v>46283</v>
      </c>
      <c r="H485" s="371" t="s">
        <v>752</v>
      </c>
      <c r="I485" s="372">
        <v>0.33333333333333331</v>
      </c>
      <c r="J485" s="372"/>
      <c r="K485" s="371"/>
      <c r="L485" s="371"/>
      <c r="M485" s="371"/>
      <c r="N485" s="371"/>
      <c r="O485" s="371"/>
      <c r="P485" s="375" t="s">
        <v>289</v>
      </c>
      <c r="Q485" s="375"/>
      <c r="R485" s="376"/>
      <c r="S485" s="370">
        <f>VLOOKUP(Table2[[#This Row],[Course Title]],'TSD-Data'!$A$1:$E$70,4,FALSE)</f>
        <v>35</v>
      </c>
      <c r="T485" s="377">
        <f>VLOOKUP(Table2[[#This Row],[Course Title]],'TSD-Data'!$A$1:$F$70,6,FALSE)</f>
        <v>30</v>
      </c>
      <c r="U485" s="378">
        <f>VLOOKUP(Table2[[#This Row],[Course Title]],'TSD-Data'!$A$1:$F$70,5,FALSE)</f>
        <v>5</v>
      </c>
      <c r="V485" s="379">
        <v>33</v>
      </c>
      <c r="W485" s="377"/>
      <c r="X485" s="377"/>
      <c r="Y485" s="378"/>
      <c r="Z485" s="378"/>
      <c r="AA485" s="370"/>
      <c r="AB485" s="370"/>
      <c r="AC485" s="370"/>
      <c r="AD485" s="370"/>
      <c r="AE485" s="378">
        <f ca="1">Table2[[#This Row],[End Date]]+2-TODAY()</f>
        <v>467</v>
      </c>
      <c r="AF485" s="370">
        <f>IF(ISBLANK(Table2[[#This Row],[Roster Received by]]),1,0)</f>
        <v>1</v>
      </c>
      <c r="AG485" s="377">
        <f ca="1">IF(Table2[[#This Row],[Start Date]]&gt;TODAY(),1,)</f>
        <v>1</v>
      </c>
      <c r="AH485" s="377">
        <f>IF(ISBLANK(Table2[[#This Row],[Primary Instructor]]),0,1)</f>
        <v>1</v>
      </c>
      <c r="AI485" s="377">
        <f>IF(ISBLANK(Table2[[#This Row],[Instructor 2]]),0,1)</f>
        <v>0</v>
      </c>
      <c r="AJ485" s="377">
        <f>Table2[[#This Row],[Course Length (Hours)]]/(SUM(Table2[[#This Row],[1]:[2]]))</f>
        <v>30</v>
      </c>
      <c r="AK485" s="370"/>
      <c r="AL485" s="400">
        <v>4</v>
      </c>
      <c r="AM485" s="403" t="str">
        <f>VLOOKUP(Table2[[#This Row],[Course Title]],'TSD-Data'!$A$1:$G$70,7,FALSE)</f>
        <v>N5</v>
      </c>
    </row>
    <row r="486" spans="1:39" s="380" customFormat="1" x14ac:dyDescent="0.25">
      <c r="A486" s="425"/>
      <c r="B486" s="401" t="s">
        <v>17</v>
      </c>
      <c r="C486" s="370" t="str">
        <f>VLOOKUP(Table2[[#This Row],[Course Title]],'TSD-Data'!$A$1:$E$70,2,FALSE)</f>
        <v>A-493-0012</v>
      </c>
      <c r="D486" s="370">
        <f>VLOOKUP(Table2[[#This Row],[Course Title]],'TSD-Data'!$A$1:$E$70,3,FALSE)</f>
        <v>3682</v>
      </c>
      <c r="E486" s="401" t="s">
        <v>294</v>
      </c>
      <c r="F486" s="426">
        <v>46279</v>
      </c>
      <c r="G486" s="426">
        <v>46283</v>
      </c>
      <c r="H486" s="426" t="s">
        <v>753</v>
      </c>
      <c r="I486" s="372">
        <v>0.33333333333333331</v>
      </c>
      <c r="J486" s="372"/>
      <c r="K486" s="371"/>
      <c r="L486" s="371"/>
      <c r="M486" s="371"/>
      <c r="N486" s="371"/>
      <c r="O486" s="371"/>
      <c r="P486" s="375" t="s">
        <v>241</v>
      </c>
      <c r="Q486" s="375"/>
      <c r="R486" s="376"/>
      <c r="S486" s="370">
        <f>VLOOKUP(Table2[[#This Row],[Course Title]],'TSD-Data'!$A$1:$E$70,4,FALSE)</f>
        <v>40</v>
      </c>
      <c r="T486" s="377">
        <f>VLOOKUP(Table2[[#This Row],[Course Title]],'TSD-Data'!$A$1:$F$70,6,FALSE)</f>
        <v>40</v>
      </c>
      <c r="U486" s="378">
        <f>VLOOKUP(Table2[[#This Row],[Course Title]],'TSD-Data'!$A$1:$F$70,5,FALSE)</f>
        <v>5</v>
      </c>
      <c r="V486" s="377">
        <v>30</v>
      </c>
      <c r="W486" s="377"/>
      <c r="X486" s="377"/>
      <c r="Y486" s="378"/>
      <c r="Z486" s="378"/>
      <c r="AA486" s="370"/>
      <c r="AB486" s="370"/>
      <c r="AC486" s="370"/>
      <c r="AD486" s="370"/>
      <c r="AE486" s="378" t="e">
        <v>#REF!</v>
      </c>
      <c r="AF486" s="370">
        <v>0</v>
      </c>
      <c r="AG486" s="377" t="e">
        <v>#REF!</v>
      </c>
      <c r="AH486" s="377">
        <v>1</v>
      </c>
      <c r="AI486" s="377">
        <v>1</v>
      </c>
      <c r="AJ486" s="377" t="e">
        <v>#VALUE!</v>
      </c>
      <c r="AK486" s="370"/>
      <c r="AL486" s="400">
        <v>4</v>
      </c>
      <c r="AM486" s="403" t="str">
        <f>VLOOKUP(Table2[[#This Row],[Course Title]],'TSD-Data'!$A$1:$G$70,7,FALSE)</f>
        <v>N4</v>
      </c>
    </row>
    <row r="487" spans="1:39" s="380" customFormat="1" x14ac:dyDescent="0.25">
      <c r="A487" s="427" t="s">
        <v>726</v>
      </c>
      <c r="B487" s="401" t="s">
        <v>17</v>
      </c>
      <c r="C487" s="370" t="str">
        <f>VLOOKUP(Table2[[#This Row],[Course Title]],'TSD-Data'!$A$1:$E$70,2,FALSE)</f>
        <v>A-493-0012</v>
      </c>
      <c r="D487" s="370">
        <f>VLOOKUP(Table2[[#This Row],[Course Title]],'TSD-Data'!$A$1:$E$70,3,FALSE)</f>
        <v>3682</v>
      </c>
      <c r="E487" s="401" t="s">
        <v>164</v>
      </c>
      <c r="F487" s="426">
        <v>46279</v>
      </c>
      <c r="G487" s="426">
        <v>46283</v>
      </c>
      <c r="H487" s="426" t="s">
        <v>753</v>
      </c>
      <c r="I487" s="372">
        <v>0.33333333333333331</v>
      </c>
      <c r="J487" s="372"/>
      <c r="K487" s="371"/>
      <c r="L487" s="371"/>
      <c r="M487" s="371"/>
      <c r="N487" s="371"/>
      <c r="O487" s="371"/>
      <c r="P487" s="375" t="s">
        <v>241</v>
      </c>
      <c r="Q487" s="375"/>
      <c r="R487" s="376"/>
      <c r="S487" s="370">
        <f>VLOOKUP(Table2[[#This Row],[Course Title]],'TSD-Data'!$A$1:$E$70,4,FALSE)</f>
        <v>40</v>
      </c>
      <c r="T487" s="377">
        <f>VLOOKUP(Table2[[#This Row],[Course Title]],'TSD-Data'!$A$1:$F$70,6,FALSE)</f>
        <v>40</v>
      </c>
      <c r="U487" s="378">
        <f>VLOOKUP(Table2[[#This Row],[Course Title]],'TSD-Data'!$A$1:$F$70,5,FALSE)</f>
        <v>5</v>
      </c>
      <c r="V487" s="377">
        <v>45</v>
      </c>
      <c r="W487" s="377"/>
      <c r="X487" s="377"/>
      <c r="Y487" s="378"/>
      <c r="Z487" s="378"/>
      <c r="AA487" s="370"/>
      <c r="AB487" s="370"/>
      <c r="AC487" s="370"/>
      <c r="AD487" s="370"/>
      <c r="AE487" s="378" t="e">
        <v>#REF!</v>
      </c>
      <c r="AF487" s="370">
        <v>0</v>
      </c>
      <c r="AG487" s="377" t="e">
        <v>#REF!</v>
      </c>
      <c r="AH487" s="377">
        <v>1</v>
      </c>
      <c r="AI487" s="377">
        <v>1</v>
      </c>
      <c r="AJ487" s="377" t="e">
        <v>#VALUE!</v>
      </c>
      <c r="AK487" s="370"/>
      <c r="AL487" s="400">
        <v>4</v>
      </c>
      <c r="AM487" s="403" t="str">
        <f>VLOOKUP(Table2[[#This Row],[Course Title]],'TSD-Data'!$A$1:$G$70,7,FALSE)</f>
        <v>N4</v>
      </c>
    </row>
    <row r="488" spans="1:39" s="380" customFormat="1" x14ac:dyDescent="0.25">
      <c r="A488" s="368"/>
      <c r="B488" s="369" t="s">
        <v>38</v>
      </c>
      <c r="C488" s="370" t="str">
        <f>VLOOKUP(Table2[[#This Row],[Course Title]],'TSD-Data'!$A$1:$E$70,2,FALSE)</f>
        <v>A-493-0061</v>
      </c>
      <c r="D488" s="370" t="str">
        <f>VLOOKUP(Table2[[#This Row],[Course Title]],'TSD-Data'!$A$1:$E$70,3,FALSE)</f>
        <v>288E</v>
      </c>
      <c r="E488" s="369" t="s">
        <v>86</v>
      </c>
      <c r="F488" s="371">
        <v>46279</v>
      </c>
      <c r="G488" s="371">
        <v>46282</v>
      </c>
      <c r="H488" s="371" t="s">
        <v>752</v>
      </c>
      <c r="I488" s="372"/>
      <c r="J488" s="372">
        <v>0.33333333333333331</v>
      </c>
      <c r="K488" s="372">
        <v>0.20833333333333334</v>
      </c>
      <c r="L488" s="372">
        <v>0.625</v>
      </c>
      <c r="M488" s="372">
        <v>0.54166666666666663</v>
      </c>
      <c r="N488" s="372">
        <v>8.3333333333333329E-2</v>
      </c>
      <c r="O488" s="372">
        <v>0.875</v>
      </c>
      <c r="P488" s="375" t="s">
        <v>274</v>
      </c>
      <c r="Q488" s="375"/>
      <c r="R488" s="376"/>
      <c r="S488" s="370">
        <f>VLOOKUP(Table2[[#This Row],[Course Title]],'TSD-Data'!$A$1:$E$70,4,FALSE)</f>
        <v>45</v>
      </c>
      <c r="T488" s="377">
        <f>VLOOKUP(Table2[[#This Row],[Course Title]],'TSD-Data'!$A$1:$F$70,6,FALSE)</f>
        <v>30</v>
      </c>
      <c r="U488" s="378">
        <f>VLOOKUP(Table2[[#This Row],[Course Title]],'TSD-Data'!$A$1:$F$70,5,FALSE)</f>
        <v>4</v>
      </c>
      <c r="V488" s="379">
        <v>366</v>
      </c>
      <c r="W488" s="377"/>
      <c r="X488" s="377"/>
      <c r="Y488" s="378"/>
      <c r="Z488" s="378"/>
      <c r="AA488" s="370"/>
      <c r="AB488" s="370"/>
      <c r="AC488" s="370"/>
      <c r="AD488" s="370"/>
      <c r="AE488" s="378">
        <f ca="1">Table2[[#This Row],[End Date]]+2-TODAY()</f>
        <v>466</v>
      </c>
      <c r="AF488" s="370">
        <f>IF(ISBLANK(Table2[[#This Row],[Roster Received by]]),1,0)</f>
        <v>1</v>
      </c>
      <c r="AG488" s="377">
        <f ca="1">IF(Table2[[#This Row],[Start Date]]&gt;TODAY(),1,)</f>
        <v>1</v>
      </c>
      <c r="AH488" s="377">
        <f>IF(ISBLANK(Table2[[#This Row],[Primary Instructor]]),0,1)</f>
        <v>1</v>
      </c>
      <c r="AI488" s="377">
        <f>IF(ISBLANK(Table2[[#This Row],[Instructor 2]]),0,1)</f>
        <v>0</v>
      </c>
      <c r="AJ488" s="377">
        <f>Table2[[#This Row],[Course Length (Hours)]]/(SUM(Table2[[#This Row],[1]:[2]]))</f>
        <v>30</v>
      </c>
      <c r="AK488" s="370"/>
      <c r="AL488" s="400">
        <v>4</v>
      </c>
      <c r="AM488" s="403" t="str">
        <f>VLOOKUP(Table2[[#This Row],[Course Title]],'TSD-Data'!$A$1:$G$70,7,FALSE)</f>
        <v>N5</v>
      </c>
    </row>
    <row r="489" spans="1:39" s="380" customFormat="1" x14ac:dyDescent="0.25">
      <c r="A489" s="413"/>
      <c r="B489" s="369" t="s">
        <v>29</v>
      </c>
      <c r="C489" s="370" t="str">
        <f>VLOOKUP(Table2[[#This Row],[Course Title]],'TSD-Data'!$A$1:$E$70,2,FALSE)</f>
        <v>A-493-0077</v>
      </c>
      <c r="D489" s="370" t="str">
        <f>VLOOKUP(Table2[[#This Row],[Course Title]],'TSD-Data'!$A$1:$E$70,3,FALSE)</f>
        <v>0381</v>
      </c>
      <c r="E489" s="414" t="s">
        <v>175</v>
      </c>
      <c r="F489" s="416">
        <v>46279</v>
      </c>
      <c r="G489" s="416">
        <v>46281</v>
      </c>
      <c r="H489" s="426" t="s">
        <v>753</v>
      </c>
      <c r="I489" s="417">
        <v>0.33333333333333331</v>
      </c>
      <c r="J489" s="417"/>
      <c r="K489" s="416"/>
      <c r="L489" s="416"/>
      <c r="M489" s="416"/>
      <c r="N489" s="416"/>
      <c r="O489" s="416"/>
      <c r="P489" s="418" t="s">
        <v>241</v>
      </c>
      <c r="Q489" s="418"/>
      <c r="R489" s="376"/>
      <c r="S489" s="370">
        <f>VLOOKUP(Table2[[#This Row],[Course Title]],'TSD-Data'!$A$1:$E$70,4,FALSE)</f>
        <v>25</v>
      </c>
      <c r="T489" s="377">
        <f>VLOOKUP(Table2[[#This Row],[Course Title]],'TSD-Data'!$A$1:$F$70,6,FALSE)</f>
        <v>24</v>
      </c>
      <c r="U489" s="378">
        <f>VLOOKUP(Table2[[#This Row],[Course Title]],'TSD-Data'!$A$1:$F$70,5,FALSE)</f>
        <v>3</v>
      </c>
      <c r="V489" s="379">
        <v>11</v>
      </c>
      <c r="W489" s="377"/>
      <c r="X489" s="377"/>
      <c r="Y489" s="420"/>
      <c r="Z489" s="420"/>
      <c r="AA489" s="415"/>
      <c r="AB489" s="415"/>
      <c r="AC489" s="421"/>
      <c r="AD489" s="421"/>
      <c r="AE489" s="420">
        <v>476</v>
      </c>
      <c r="AF489" s="415">
        <v>1</v>
      </c>
      <c r="AG489" s="403">
        <v>1</v>
      </c>
      <c r="AH489" s="403">
        <v>1</v>
      </c>
      <c r="AI489" s="403">
        <v>0</v>
      </c>
      <c r="AJ489" s="403">
        <v>24</v>
      </c>
      <c r="AK489" s="415"/>
      <c r="AL489" s="400">
        <v>4</v>
      </c>
      <c r="AM489" s="403" t="str">
        <f>VLOOKUP(Table2[[#This Row],[Course Title]],'TSD-Data'!$A$1:$G$70,7,FALSE)</f>
        <v>N4</v>
      </c>
    </row>
    <row r="490" spans="1:39" s="380" customFormat="1" x14ac:dyDescent="0.25">
      <c r="A490" s="368"/>
      <c r="B490" s="369" t="s">
        <v>59</v>
      </c>
      <c r="C490" s="370" t="str">
        <f>VLOOKUP(Table2[[#This Row],[Course Title]],'TSD-Data'!$A$1:$E$70,2,FALSE)</f>
        <v>A-493-0550</v>
      </c>
      <c r="D490" s="370" t="str">
        <f>VLOOKUP(Table2[[#This Row],[Course Title]],'TSD-Data'!$A$1:$E$70,3,FALSE)</f>
        <v>09K5</v>
      </c>
      <c r="E490" s="369" t="s">
        <v>86</v>
      </c>
      <c r="F490" s="371">
        <v>46279</v>
      </c>
      <c r="G490" s="371">
        <v>46282</v>
      </c>
      <c r="H490" s="371" t="s">
        <v>752</v>
      </c>
      <c r="I490" s="372"/>
      <c r="J490" s="440">
        <v>0.5</v>
      </c>
      <c r="K490" s="439">
        <v>0.375</v>
      </c>
      <c r="L490" s="439">
        <v>0.79166666666666663</v>
      </c>
      <c r="M490" s="439">
        <v>0.75</v>
      </c>
      <c r="N490" s="439">
        <v>0.25</v>
      </c>
      <c r="O490" s="439">
        <v>4.1666666666666664E-2</v>
      </c>
      <c r="P490" s="375" t="s">
        <v>272</v>
      </c>
      <c r="Q490" s="375"/>
      <c r="R490" s="376"/>
      <c r="S490" s="370">
        <f>VLOOKUP(Table2[[#This Row],[Course Title]],'TSD-Data'!$A$1:$E$70,4,FALSE)</f>
        <v>45</v>
      </c>
      <c r="T490" s="377">
        <f>VLOOKUP(Table2[[#This Row],[Course Title]],'TSD-Data'!$A$1:$F$70,6,FALSE)</f>
        <v>32</v>
      </c>
      <c r="U490" s="378">
        <f>VLOOKUP(Table2[[#This Row],[Course Title]],'TSD-Data'!$A$1:$F$70,5,FALSE)</f>
        <v>4</v>
      </c>
      <c r="V490" s="379">
        <v>864</v>
      </c>
      <c r="W490" s="377"/>
      <c r="X490" s="377"/>
      <c r="Y490" s="378"/>
      <c r="Z490" s="378"/>
      <c r="AA490" s="370"/>
      <c r="AB490" s="370"/>
      <c r="AC490" s="370"/>
      <c r="AD490" s="370"/>
      <c r="AE490" s="378">
        <f ca="1">Table2[[#This Row],[End Date]]+2-TODAY()</f>
        <v>466</v>
      </c>
      <c r="AF490" s="370">
        <f>IF(ISBLANK(Table2[[#This Row],[Roster Received by]]),1,0)</f>
        <v>1</v>
      </c>
      <c r="AG490" s="377">
        <f ca="1">IF(Table2[[#This Row],[Start Date]]&gt;TODAY(),1,)</f>
        <v>1</v>
      </c>
      <c r="AH490" s="377">
        <f>IF(ISBLANK(Table2[[#This Row],[Primary Instructor]]),0,1)</f>
        <v>1</v>
      </c>
      <c r="AI490" s="377">
        <f>IF(ISBLANK(Table2[[#This Row],[Instructor 2]]),0,1)</f>
        <v>0</v>
      </c>
      <c r="AJ490" s="377">
        <f>Table2[[#This Row],[Course Length (Hours)]]/(SUM(Table2[[#This Row],[1]:[2]]))</f>
        <v>32</v>
      </c>
      <c r="AK490" s="370"/>
      <c r="AL490" s="400">
        <v>4</v>
      </c>
      <c r="AM490" s="403" t="str">
        <f>VLOOKUP(Table2[[#This Row],[Course Title]],'TSD-Data'!$A$1:$G$70,7,FALSE)</f>
        <v>N5</v>
      </c>
    </row>
    <row r="491" spans="1:39" s="380" customFormat="1" x14ac:dyDescent="0.25">
      <c r="A491" s="368"/>
      <c r="B491" s="432" t="s">
        <v>313</v>
      </c>
      <c r="C491" s="370" t="str">
        <f>VLOOKUP(Table2[[#This Row],[Course Title]],'TSD-Data'!$A$1:$E$70,2,FALSE)</f>
        <v>A-493-0078</v>
      </c>
      <c r="D491" s="370">
        <f>VLOOKUP(Table2[[#This Row],[Course Title]],'TSD-Data'!$A$1:$E$70,3,FALSE)</f>
        <v>1228</v>
      </c>
      <c r="E491" s="369" t="s">
        <v>174</v>
      </c>
      <c r="F491" s="371">
        <v>46279</v>
      </c>
      <c r="G491" s="371">
        <v>46283</v>
      </c>
      <c r="H491" s="371" t="s">
        <v>752</v>
      </c>
      <c r="I491" s="372">
        <v>0.33333333333333331</v>
      </c>
      <c r="J491" s="372"/>
      <c r="K491" s="371"/>
      <c r="L491" s="371"/>
      <c r="M491" s="371"/>
      <c r="N491" s="371"/>
      <c r="O491" s="371"/>
      <c r="P491" s="375" t="s">
        <v>256</v>
      </c>
      <c r="Q491" s="375"/>
      <c r="R491" s="376"/>
      <c r="S491" s="370">
        <f>VLOOKUP(Table2[[#This Row],[Course Title]],'TSD-Data'!$A$1:$E$70,4,FALSE)</f>
        <v>30</v>
      </c>
      <c r="T491" s="377">
        <f>VLOOKUP(Table2[[#This Row],[Course Title]],'TSD-Data'!$A$1:$F$70,6,FALSE)</f>
        <v>32</v>
      </c>
      <c r="U491" s="378">
        <f>VLOOKUP(Table2[[#This Row],[Course Title]],'TSD-Data'!$A$1:$F$70,5,FALSE)</f>
        <v>4</v>
      </c>
      <c r="V491" s="379">
        <v>0</v>
      </c>
      <c r="W491" s="377"/>
      <c r="X491" s="377"/>
      <c r="Y491" s="378"/>
      <c r="Z491" s="378"/>
      <c r="AA491" s="370"/>
      <c r="AB491" s="370"/>
      <c r="AC491" s="370"/>
      <c r="AD491" s="370"/>
      <c r="AE491" s="378">
        <f ca="1">Table2[[#This Row],[End Date]]+2-TODAY()</f>
        <v>467</v>
      </c>
      <c r="AF491" s="370">
        <f>IF(ISBLANK(Table2[[#This Row],[Roster Received by]]),1,0)</f>
        <v>1</v>
      </c>
      <c r="AG491" s="377">
        <f ca="1">IF(Table2[[#This Row],[Start Date]]&gt;TODAY(),1,)</f>
        <v>1</v>
      </c>
      <c r="AH491" s="377">
        <f>IF(ISBLANK(Table2[[#This Row],[Primary Instructor]]),0,1)</f>
        <v>1</v>
      </c>
      <c r="AI491" s="377">
        <f>IF(ISBLANK(Table2[[#This Row],[Instructor 2]]),0,1)</f>
        <v>0</v>
      </c>
      <c r="AJ491" s="377">
        <f>Table2[[#This Row],[Course Length (Hours)]]/(SUM(Table2[[#This Row],[1]:[2]]))</f>
        <v>32</v>
      </c>
      <c r="AK491" s="370"/>
      <c r="AL491" s="400">
        <v>4</v>
      </c>
      <c r="AM491" s="403" t="str">
        <f>VLOOKUP(Table2[[#This Row],[Course Title]],'TSD-Data'!$A$1:$G$70,7,FALSE)</f>
        <v>N5</v>
      </c>
    </row>
    <row r="492" spans="1:39" s="380" customFormat="1" x14ac:dyDescent="0.25">
      <c r="A492" s="368"/>
      <c r="B492" s="369" t="s">
        <v>39</v>
      </c>
      <c r="C492" s="370" t="str">
        <f>VLOOKUP(Table2[[#This Row],[Course Title]],'TSD-Data'!$A$1:$E$70,2,FALSE)</f>
        <v>A-570-0100</v>
      </c>
      <c r="D492" s="370" t="str">
        <f>VLOOKUP(Table2[[#This Row],[Course Title]],'TSD-Data'!$A$1:$E$70,3,FALSE)</f>
        <v>18B7</v>
      </c>
      <c r="E492" s="369" t="s">
        <v>86</v>
      </c>
      <c r="F492" s="371">
        <v>46279</v>
      </c>
      <c r="G492" s="371">
        <v>46280</v>
      </c>
      <c r="H492" s="371" t="s">
        <v>752</v>
      </c>
      <c r="I492" s="372"/>
      <c r="J492" s="372">
        <v>0.5</v>
      </c>
      <c r="K492" s="381">
        <v>0.375</v>
      </c>
      <c r="L492" s="381">
        <v>0.79166666666666663</v>
      </c>
      <c r="M492" s="381">
        <v>0.75</v>
      </c>
      <c r="N492" s="381">
        <v>0.25</v>
      </c>
      <c r="O492" s="381">
        <v>4.1666666666666664E-2</v>
      </c>
      <c r="P492" s="375" t="s">
        <v>252</v>
      </c>
      <c r="Q492" s="375"/>
      <c r="R492" s="376"/>
      <c r="S492" s="370">
        <f>VLOOKUP(Table2[[#This Row],[Course Title]],'TSD-Data'!$A$1:$E$70,4,FALSE)</f>
        <v>45</v>
      </c>
      <c r="T492" s="377">
        <f>VLOOKUP(Table2[[#This Row],[Course Title]],'TSD-Data'!$A$1:$F$70,6,FALSE)</f>
        <v>16</v>
      </c>
      <c r="U492" s="378">
        <f>VLOOKUP(Table2[[#This Row],[Course Title]],'TSD-Data'!$A$1:$F$70,5,FALSE)</f>
        <v>2</v>
      </c>
      <c r="V492" s="379">
        <v>663</v>
      </c>
      <c r="W492" s="377"/>
      <c r="X492" s="377"/>
      <c r="Y492" s="378"/>
      <c r="Z492" s="378"/>
      <c r="AA492" s="370"/>
      <c r="AB492" s="370"/>
      <c r="AC492" s="370"/>
      <c r="AD492" s="370"/>
      <c r="AE492" s="378">
        <f ca="1">Table2[[#This Row],[End Date]]+2-TODAY()</f>
        <v>464</v>
      </c>
      <c r="AF492" s="370">
        <f>IF(ISBLANK(Table2[[#This Row],[Roster Received by]]),1,0)</f>
        <v>1</v>
      </c>
      <c r="AG492" s="377">
        <f ca="1">IF(Table2[[#This Row],[Start Date]]&gt;TODAY(),1,)</f>
        <v>1</v>
      </c>
      <c r="AH492" s="377">
        <f>IF(ISBLANK(Table2[[#This Row],[Primary Instructor]]),0,1)</f>
        <v>1</v>
      </c>
      <c r="AI492" s="377">
        <f>IF(ISBLANK(Table2[[#This Row],[Instructor 2]]),0,1)</f>
        <v>0</v>
      </c>
      <c r="AJ492" s="377">
        <f>Table2[[#This Row],[Course Length (Hours)]]/(SUM(Table2[[#This Row],[1]:[2]]))</f>
        <v>16</v>
      </c>
      <c r="AK492" s="370"/>
      <c r="AL492" s="400">
        <v>4</v>
      </c>
      <c r="AM492" s="403" t="str">
        <f>VLOOKUP(Table2[[#This Row],[Course Title]],'TSD-Data'!$A$1:$G$70,7,FALSE)</f>
        <v>N5</v>
      </c>
    </row>
    <row r="493" spans="1:39" s="380" customFormat="1" x14ac:dyDescent="0.25">
      <c r="A493" s="368"/>
      <c r="B493" s="369" t="s">
        <v>53</v>
      </c>
      <c r="C493" s="370" t="str">
        <f>VLOOKUP(Table2[[#This Row],[Course Title]],'TSD-Data'!$A$1:$E$70,2,FALSE)</f>
        <v>A-493-0072</v>
      </c>
      <c r="D493" s="370" t="str">
        <f>VLOOKUP(Table2[[#This Row],[Course Title]],'TSD-Data'!$A$1:$E$70,3,FALSE)</f>
        <v>713U</v>
      </c>
      <c r="E493" s="369" t="s">
        <v>174</v>
      </c>
      <c r="F493" s="371">
        <v>46279</v>
      </c>
      <c r="G493" s="371">
        <v>46283</v>
      </c>
      <c r="H493" s="371" t="s">
        <v>752</v>
      </c>
      <c r="I493" s="372">
        <v>0.33333333333333331</v>
      </c>
      <c r="J493" s="372"/>
      <c r="K493" s="371"/>
      <c r="L493" s="371"/>
      <c r="M493" s="371"/>
      <c r="N493" s="371"/>
      <c r="O493" s="371"/>
      <c r="P493" s="375" t="s">
        <v>292</v>
      </c>
      <c r="Q493" s="375"/>
      <c r="R493" s="376" t="s">
        <v>256</v>
      </c>
      <c r="S493" s="370">
        <f>VLOOKUP(Table2[[#This Row],[Course Title]],'TSD-Data'!$A$1:$E$70,4,FALSE)</f>
        <v>30</v>
      </c>
      <c r="T493" s="377">
        <f>VLOOKUP(Table2[[#This Row],[Course Title]],'TSD-Data'!$A$1:$F$70,6,FALSE)</f>
        <v>40</v>
      </c>
      <c r="U493" s="378">
        <f>VLOOKUP(Table2[[#This Row],[Course Title]],'TSD-Data'!$A$1:$F$70,5,FALSE)</f>
        <v>5</v>
      </c>
      <c r="V493" s="379">
        <v>99</v>
      </c>
      <c r="W493" s="377"/>
      <c r="X493" s="377"/>
      <c r="Y493" s="378"/>
      <c r="Z493" s="378"/>
      <c r="AA493" s="370"/>
      <c r="AB493" s="370"/>
      <c r="AC493" s="370"/>
      <c r="AD493" s="370"/>
      <c r="AE493" s="378">
        <f ca="1">Table2[[#This Row],[End Date]]+2-TODAY()</f>
        <v>467</v>
      </c>
      <c r="AF493" s="370">
        <f>IF(ISBLANK(Table2[[#This Row],[Roster Received by]]),1,0)</f>
        <v>1</v>
      </c>
      <c r="AG493" s="377">
        <f ca="1">IF(Table2[[#This Row],[Start Date]]&gt;TODAY(),1,)</f>
        <v>1</v>
      </c>
      <c r="AH493" s="377">
        <f>IF(ISBLANK(Table2[[#This Row],[Primary Instructor]]),0,1)</f>
        <v>1</v>
      </c>
      <c r="AI493" s="377">
        <f>IF(ISBLANK(Table2[[#This Row],[Instructor 2]]),0,1)</f>
        <v>0</v>
      </c>
      <c r="AJ493" s="377">
        <f>Table2[[#This Row],[Course Length (Hours)]]/(SUM(Table2[[#This Row],[1]:[2]]))</f>
        <v>40</v>
      </c>
      <c r="AK493" s="370"/>
      <c r="AL493" s="400">
        <v>4</v>
      </c>
      <c r="AM493" s="403" t="str">
        <f>VLOOKUP(Table2[[#This Row],[Course Title]],'TSD-Data'!$A$1:$G$70,7,FALSE)</f>
        <v>N3</v>
      </c>
    </row>
    <row r="494" spans="1:39" s="380" customFormat="1" x14ac:dyDescent="0.25">
      <c r="A494" s="368"/>
      <c r="B494" s="369" t="s">
        <v>53</v>
      </c>
      <c r="C494" s="370" t="str">
        <f>VLOOKUP(Table2[[#This Row],[Course Title]],'TSD-Data'!$A$1:$E$70,2,FALSE)</f>
        <v>A-493-0072</v>
      </c>
      <c r="D494" s="370" t="str">
        <f>VLOOKUP(Table2[[#This Row],[Course Title]],'TSD-Data'!$A$1:$E$70,3,FALSE)</f>
        <v>713U</v>
      </c>
      <c r="E494" s="369" t="s">
        <v>177</v>
      </c>
      <c r="F494" s="371">
        <v>46279</v>
      </c>
      <c r="G494" s="371">
        <v>46283</v>
      </c>
      <c r="H494" s="371" t="s">
        <v>752</v>
      </c>
      <c r="I494" s="372">
        <v>0.33333333333333331</v>
      </c>
      <c r="J494" s="372"/>
      <c r="K494" s="371"/>
      <c r="L494" s="371"/>
      <c r="M494" s="371"/>
      <c r="N494" s="371"/>
      <c r="O494" s="371"/>
      <c r="P494" s="375" t="s">
        <v>297</v>
      </c>
      <c r="Q494" s="375"/>
      <c r="R494" s="376" t="s">
        <v>248</v>
      </c>
      <c r="S494" s="370">
        <f>VLOOKUP(Table2[[#This Row],[Course Title]],'TSD-Data'!$A$1:$E$70,4,FALSE)</f>
        <v>30</v>
      </c>
      <c r="T494" s="377">
        <f>VLOOKUP(Table2[[#This Row],[Course Title]],'TSD-Data'!$A$1:$F$70,6,FALSE)</f>
        <v>40</v>
      </c>
      <c r="U494" s="378">
        <f>VLOOKUP(Table2[[#This Row],[Course Title]],'TSD-Data'!$A$1:$F$70,5,FALSE)</f>
        <v>5</v>
      </c>
      <c r="V494" s="379">
        <v>69</v>
      </c>
      <c r="W494" s="377"/>
      <c r="X494" s="377"/>
      <c r="Y494" s="378"/>
      <c r="Z494" s="378"/>
      <c r="AA494" s="370"/>
      <c r="AB494" s="370"/>
      <c r="AC494" s="370"/>
      <c r="AD494" s="370"/>
      <c r="AE494" s="378">
        <f ca="1">Table2[[#This Row],[End Date]]+2-TODAY()</f>
        <v>467</v>
      </c>
      <c r="AF494" s="370">
        <f>IF(ISBLANK(Table2[[#This Row],[Roster Received by]]),1,0)</f>
        <v>1</v>
      </c>
      <c r="AG494" s="377">
        <f ca="1">IF(Table2[[#This Row],[Start Date]]&gt;TODAY(),1,)</f>
        <v>1</v>
      </c>
      <c r="AH494" s="377">
        <f>IF(ISBLANK(Table2[[#This Row],[Primary Instructor]]),0,1)</f>
        <v>1</v>
      </c>
      <c r="AI494" s="377">
        <f>IF(ISBLANK(Table2[[#This Row],[Instructor 2]]),0,1)</f>
        <v>0</v>
      </c>
      <c r="AJ494" s="377">
        <f>Table2[[#This Row],[Course Length (Hours)]]/(SUM(Table2[[#This Row],[1]:[2]]))</f>
        <v>40</v>
      </c>
      <c r="AK494" s="370"/>
      <c r="AL494" s="400">
        <v>4</v>
      </c>
      <c r="AM494" s="403" t="str">
        <f>VLOOKUP(Table2[[#This Row],[Course Title]],'TSD-Data'!$A$1:$G$70,7,FALSE)</f>
        <v>N3</v>
      </c>
    </row>
    <row r="495" spans="1:39" s="380" customFormat="1" x14ac:dyDescent="0.25">
      <c r="A495" s="368"/>
      <c r="B495" s="369" t="s">
        <v>40</v>
      </c>
      <c r="C495" s="370" t="str">
        <f>VLOOKUP(Table2[[#This Row],[Course Title]],'TSD-Data'!$A$1:$E$70,2,FALSE)</f>
        <v>A-493-2098</v>
      </c>
      <c r="D495" s="370" t="str">
        <f>VLOOKUP(Table2[[#This Row],[Course Title]],'TSD-Data'!$A$1:$E$70,3,FALSE)</f>
        <v>09WW</v>
      </c>
      <c r="E495" s="369" t="s">
        <v>86</v>
      </c>
      <c r="F495" s="371">
        <v>46279</v>
      </c>
      <c r="G495" s="371">
        <v>46281</v>
      </c>
      <c r="H495" s="371" t="s">
        <v>752</v>
      </c>
      <c r="I495" s="372"/>
      <c r="J495" s="372">
        <v>0.79166666666666663</v>
      </c>
      <c r="K495" s="381">
        <v>0.66666666666666663</v>
      </c>
      <c r="L495" s="381">
        <v>8.3333333333333329E-2</v>
      </c>
      <c r="M495" s="381">
        <v>0</v>
      </c>
      <c r="N495" s="381">
        <v>0.54166666666666663</v>
      </c>
      <c r="O495" s="381">
        <v>0.33333333333333331</v>
      </c>
      <c r="P495" s="375" t="s">
        <v>244</v>
      </c>
      <c r="Q495" s="375"/>
      <c r="R495" s="376"/>
      <c r="S495" s="370">
        <f>VLOOKUP(Table2[[#This Row],[Course Title]],'TSD-Data'!$A$1:$E$70,4,FALSE)</f>
        <v>100</v>
      </c>
      <c r="T495" s="377">
        <f>VLOOKUP(Table2[[#This Row],[Course Title]],'TSD-Data'!$A$1:$F$70,6,FALSE)</f>
        <v>16</v>
      </c>
      <c r="U495" s="378">
        <f>VLOOKUP(Table2[[#This Row],[Course Title]],'TSD-Data'!$A$1:$F$70,5,FALSE)</f>
        <v>3</v>
      </c>
      <c r="V495" s="379">
        <v>356</v>
      </c>
      <c r="W495" s="377"/>
      <c r="X495" s="377"/>
      <c r="Y495" s="378"/>
      <c r="Z495" s="378"/>
      <c r="AA495" s="370"/>
      <c r="AB495" s="370"/>
      <c r="AC495" s="370"/>
      <c r="AD495" s="370"/>
      <c r="AE495" s="378">
        <f ca="1">Table2[[#This Row],[End Date]]+2-TODAY()</f>
        <v>465</v>
      </c>
      <c r="AF495" s="370">
        <f>IF(ISBLANK(Table2[[#This Row],[Roster Received by]]),1,0)</f>
        <v>1</v>
      </c>
      <c r="AG495" s="377">
        <f ca="1">IF(Table2[[#This Row],[Start Date]]&gt;TODAY(),1,)</f>
        <v>1</v>
      </c>
      <c r="AH495" s="377">
        <f>IF(ISBLANK(Table2[[#This Row],[Primary Instructor]]),0,1)</f>
        <v>1</v>
      </c>
      <c r="AI495" s="377">
        <f>IF(ISBLANK(Table2[[#This Row],[Instructor 2]]),0,1)</f>
        <v>0</v>
      </c>
      <c r="AJ495" s="377">
        <f>Table2[[#This Row],[Course Length (Hours)]]/(SUM(Table2[[#This Row],[1]:[2]]))</f>
        <v>16</v>
      </c>
      <c r="AK495" s="370"/>
      <c r="AL495" s="400">
        <v>4</v>
      </c>
      <c r="AM495" s="403" t="str">
        <f>VLOOKUP(Table2[[#This Row],[Course Title]],'TSD-Data'!$A$1:$G$70,7,FALSE)</f>
        <v>N1</v>
      </c>
    </row>
    <row r="496" spans="1:39" s="380" customFormat="1" x14ac:dyDescent="0.25">
      <c r="A496" s="368"/>
      <c r="B496" s="432" t="s">
        <v>54</v>
      </c>
      <c r="C496" s="370" t="str">
        <f>VLOOKUP(Table2[[#This Row],[Course Title]],'TSD-Data'!$A$1:$E$70,2,FALSE)</f>
        <v>F-4J-0023</v>
      </c>
      <c r="D496" s="370" t="str">
        <f>VLOOKUP(Table2[[#This Row],[Course Title]],'TSD-Data'!$A$1:$E$70,3,FALSE)</f>
        <v>11A2</v>
      </c>
      <c r="E496" s="369" t="s">
        <v>86</v>
      </c>
      <c r="F496" s="371">
        <v>46279</v>
      </c>
      <c r="G496" s="371">
        <v>46280</v>
      </c>
      <c r="H496" s="371" t="s">
        <v>752</v>
      </c>
      <c r="I496" s="372"/>
      <c r="J496" s="372">
        <v>0.33333333333333331</v>
      </c>
      <c r="K496" s="372">
        <v>0.20833333333333334</v>
      </c>
      <c r="L496" s="372">
        <v>0.625</v>
      </c>
      <c r="M496" s="372">
        <v>0.54166666666666663</v>
      </c>
      <c r="N496" s="372">
        <v>8.3333333333333329E-2</v>
      </c>
      <c r="O496" s="372">
        <v>0.875</v>
      </c>
      <c r="P496" s="375" t="s">
        <v>285</v>
      </c>
      <c r="Q496" s="375"/>
      <c r="R496" s="376"/>
      <c r="S496" s="370">
        <f>VLOOKUP(Table2[[#This Row],[Course Title]],'TSD-Data'!$A$1:$E$70,4,FALSE)</f>
        <v>45</v>
      </c>
      <c r="T496" s="377">
        <f>VLOOKUP(Table2[[#This Row],[Course Title]],'TSD-Data'!$A$1:$F$70,6,FALSE)</f>
        <v>16</v>
      </c>
      <c r="U496" s="378">
        <f>VLOOKUP(Table2[[#This Row],[Course Title]],'TSD-Data'!$A$1:$F$70,5,FALSE)</f>
        <v>2</v>
      </c>
      <c r="V496" s="379">
        <v>28</v>
      </c>
      <c r="W496" s="377"/>
      <c r="X496" s="377"/>
      <c r="Y496" s="378"/>
      <c r="Z496" s="378"/>
      <c r="AA496" s="370"/>
      <c r="AB496" s="370"/>
      <c r="AC496" s="370"/>
      <c r="AD496" s="370"/>
      <c r="AE496" s="378">
        <f ca="1">Table2[[#This Row],[End Date]]+2-TODAY()</f>
        <v>464</v>
      </c>
      <c r="AF496" s="370">
        <f>IF(ISBLANK(Table2[[#This Row],[Roster Received by]]),1,0)</f>
        <v>1</v>
      </c>
      <c r="AG496" s="377">
        <f ca="1">IF(Table2[[#This Row],[Start Date]]&gt;TODAY(),1,)</f>
        <v>1</v>
      </c>
      <c r="AH496" s="377">
        <f>IF(ISBLANK(Table2[[#This Row],[Primary Instructor]]),0,1)</f>
        <v>1</v>
      </c>
      <c r="AI496" s="377">
        <f>IF(ISBLANK(Table2[[#This Row],[Instructor 2]]),0,1)</f>
        <v>0</v>
      </c>
      <c r="AJ496" s="377">
        <f>Table2[[#This Row],[Course Length (Hours)]]/(SUM(Table2[[#This Row],[1]:[2]]))</f>
        <v>16</v>
      </c>
      <c r="AK496" s="370"/>
      <c r="AL496" s="400">
        <v>4</v>
      </c>
      <c r="AM496" s="403" t="str">
        <f>VLOOKUP(Table2[[#This Row],[Course Title]],'TSD-Data'!$A$1:$G$70,7,FALSE)</f>
        <v>N1</v>
      </c>
    </row>
    <row r="497" spans="1:39" s="380" customFormat="1" x14ac:dyDescent="0.25">
      <c r="A497" s="368"/>
      <c r="B497" s="435" t="s">
        <v>50</v>
      </c>
      <c r="C497" s="370" t="str">
        <f>VLOOKUP(Table2[[#This Row],[Course Title]],'TSD-Data'!$A$1:$E$70,2,FALSE)</f>
        <v>A-493-0331</v>
      </c>
      <c r="D497" s="370" t="str">
        <f>VLOOKUP(Table2[[#This Row],[Course Title]],'TSD-Data'!$A$1:$E$70,3,FALSE)</f>
        <v>10UG</v>
      </c>
      <c r="E497" s="369" t="s">
        <v>86</v>
      </c>
      <c r="F497" s="371">
        <v>46280</v>
      </c>
      <c r="G497" s="371">
        <v>46282</v>
      </c>
      <c r="H497" s="371" t="s">
        <v>752</v>
      </c>
      <c r="I497" s="372"/>
      <c r="J497" s="372">
        <v>0.5</v>
      </c>
      <c r="K497" s="381">
        <v>0.375</v>
      </c>
      <c r="L497" s="381">
        <v>0.79166666666666663</v>
      </c>
      <c r="M497" s="381">
        <v>0.75</v>
      </c>
      <c r="N497" s="381">
        <v>0.25</v>
      </c>
      <c r="O497" s="381">
        <v>4.1666666666666664E-2</v>
      </c>
      <c r="P497" s="375" t="s">
        <v>293</v>
      </c>
      <c r="Q497" s="375"/>
      <c r="R497" s="376"/>
      <c r="S497" s="370">
        <f>VLOOKUP(Table2[[#This Row],[Course Title]],'TSD-Data'!$A$1:$E$70,4,FALSE)</f>
        <v>45</v>
      </c>
      <c r="T497" s="377">
        <f>VLOOKUP(Table2[[#This Row],[Course Title]],'TSD-Data'!$A$1:$F$70,6,FALSE)</f>
        <v>24</v>
      </c>
      <c r="U497" s="378">
        <f>VLOOKUP(Table2[[#This Row],[Course Title]],'TSD-Data'!$A$1:$F$70,5,FALSE)</f>
        <v>3</v>
      </c>
      <c r="V497" s="379">
        <v>844</v>
      </c>
      <c r="W497" s="377"/>
      <c r="X497" s="377"/>
      <c r="Y497" s="378"/>
      <c r="Z497" s="378"/>
      <c r="AA497" s="370"/>
      <c r="AB497" s="370"/>
      <c r="AC497" s="370"/>
      <c r="AD497" s="370"/>
      <c r="AE497" s="378">
        <f ca="1">Table2[[#This Row],[End Date]]+2-TODAY()</f>
        <v>466</v>
      </c>
      <c r="AF497" s="370">
        <f>IF(ISBLANK(Table2[[#This Row],[Roster Received by]]),1,0)</f>
        <v>1</v>
      </c>
      <c r="AG497" s="377">
        <f ca="1">IF(Table2[[#This Row],[Start Date]]&gt;TODAY(),1,)</f>
        <v>1</v>
      </c>
      <c r="AH497" s="377">
        <f>IF(ISBLANK(Table2[[#This Row],[Primary Instructor]]),0,1)</f>
        <v>1</v>
      </c>
      <c r="AI497" s="377">
        <f>IF(ISBLANK(Table2[[#This Row],[Instructor 2]]),0,1)</f>
        <v>0</v>
      </c>
      <c r="AJ497" s="377">
        <f>Table2[[#This Row],[Course Length (Hours)]]/(SUM(Table2[[#This Row],[1]:[2]]))</f>
        <v>24</v>
      </c>
      <c r="AK497" s="370"/>
      <c r="AL497" s="400">
        <v>4</v>
      </c>
      <c r="AM497" s="403" t="str">
        <f>VLOOKUP(Table2[[#This Row],[Course Title]],'TSD-Data'!$A$1:$G$70,7,FALSE)</f>
        <v>N3</v>
      </c>
    </row>
    <row r="498" spans="1:39" s="380" customFormat="1" x14ac:dyDescent="0.25">
      <c r="A498" s="368"/>
      <c r="B498" s="369" t="s">
        <v>57</v>
      </c>
      <c r="C498" s="370" t="str">
        <f>VLOOKUP(Table2[[#This Row],[Course Title]],'TSD-Data'!$A$1:$E$70,2,FALSE)</f>
        <v>A-493-0099</v>
      </c>
      <c r="D498" s="370" t="str">
        <f>VLOOKUP(Table2[[#This Row],[Course Title]],'TSD-Data'!$A$1:$E$70,3,FALSE)</f>
        <v>12JW</v>
      </c>
      <c r="E498" s="369" t="s">
        <v>86</v>
      </c>
      <c r="F498" s="371">
        <v>46281</v>
      </c>
      <c r="G498" s="371">
        <v>46283</v>
      </c>
      <c r="H498" s="371" t="s">
        <v>752</v>
      </c>
      <c r="I498" s="372"/>
      <c r="J498" s="372">
        <v>0.33333333333333331</v>
      </c>
      <c r="K498" s="372">
        <v>0.20833333333333334</v>
      </c>
      <c r="L498" s="372">
        <v>0.625</v>
      </c>
      <c r="M498" s="372">
        <v>0.54166666666666663</v>
      </c>
      <c r="N498" s="372">
        <v>8.3333333333333329E-2</v>
      </c>
      <c r="O498" s="372">
        <v>0.875</v>
      </c>
      <c r="P498" s="375" t="s">
        <v>277</v>
      </c>
      <c r="Q498" s="375"/>
      <c r="R498" s="376"/>
      <c r="S498" s="370">
        <f>VLOOKUP(Table2[[#This Row],[Course Title]],'TSD-Data'!$A$1:$E$70,4,FALSE)</f>
        <v>45</v>
      </c>
      <c r="T498" s="377">
        <f>VLOOKUP(Table2[[#This Row],[Course Title]],'TSD-Data'!$A$1:$F$70,6,FALSE)</f>
        <v>24</v>
      </c>
      <c r="U498" s="378">
        <f>VLOOKUP(Table2[[#This Row],[Course Title]],'TSD-Data'!$A$1:$F$70,5,FALSE)</f>
        <v>3</v>
      </c>
      <c r="V498" s="379">
        <v>334</v>
      </c>
      <c r="W498" s="377"/>
      <c r="X498" s="377"/>
      <c r="Y498" s="378"/>
      <c r="Z498" s="378"/>
      <c r="AA498" s="370"/>
      <c r="AB498" s="370"/>
      <c r="AC498" s="370"/>
      <c r="AD498" s="370"/>
      <c r="AE498" s="378">
        <f ca="1">Table2[[#This Row],[End Date]]+2-TODAY()</f>
        <v>467</v>
      </c>
      <c r="AF498" s="370">
        <f>IF(ISBLANK(Table2[[#This Row],[Roster Received by]]),1,0)</f>
        <v>1</v>
      </c>
      <c r="AG498" s="377">
        <f ca="1">IF(Table2[[#This Row],[Start Date]]&gt;TODAY(),1,)</f>
        <v>1</v>
      </c>
      <c r="AH498" s="377">
        <f>IF(ISBLANK(Table2[[#This Row],[Primary Instructor]]),0,1)</f>
        <v>1</v>
      </c>
      <c r="AI498" s="377">
        <f>IF(ISBLANK(Table2[[#This Row],[Instructor 2]]),0,1)</f>
        <v>0</v>
      </c>
      <c r="AJ498" s="377">
        <f>Table2[[#This Row],[Course Length (Hours)]]/(SUM(Table2[[#This Row],[1]:[2]]))</f>
        <v>24</v>
      </c>
      <c r="AK498" s="370"/>
      <c r="AL498" s="400">
        <v>4</v>
      </c>
      <c r="AM498" s="403" t="str">
        <f>VLOOKUP(Table2[[#This Row],[Course Title]],'TSD-Data'!$A$1:$G$70,7,FALSE)</f>
        <v>N5</v>
      </c>
    </row>
    <row r="499" spans="1:39" s="380" customFormat="1" x14ac:dyDescent="0.25">
      <c r="A499" s="368"/>
      <c r="B499" s="436" t="s">
        <v>49</v>
      </c>
      <c r="C499" s="370" t="str">
        <f>VLOOKUP(Table2[[#This Row],[Course Title]],'TSD-Data'!$A$1:$E$70,2,FALSE)</f>
        <v>A-493-0092</v>
      </c>
      <c r="D499" s="370">
        <f>VLOOKUP(Table2[[#This Row],[Course Title]],'TSD-Data'!$A$1:$E$70,3,FALSE)</f>
        <v>5891</v>
      </c>
      <c r="E499" s="369" t="s">
        <v>176</v>
      </c>
      <c r="F499" s="371">
        <v>46281</v>
      </c>
      <c r="G499" s="371">
        <v>46283</v>
      </c>
      <c r="H499" s="371" t="s">
        <v>752</v>
      </c>
      <c r="I499" s="372">
        <v>0.33333333333333331</v>
      </c>
      <c r="J499" s="372"/>
      <c r="K499" s="371"/>
      <c r="L499" s="371"/>
      <c r="M499" s="371"/>
      <c r="N499" s="371"/>
      <c r="O499" s="371"/>
      <c r="P499" s="375" t="s">
        <v>297</v>
      </c>
      <c r="Q499" s="375"/>
      <c r="R499" s="376" t="s">
        <v>265</v>
      </c>
      <c r="S499" s="370">
        <f>VLOOKUP(Table2[[#This Row],[Course Title]],'TSD-Data'!$A$1:$E$70,4,FALSE)</f>
        <v>25</v>
      </c>
      <c r="T499" s="377">
        <f>VLOOKUP(Table2[[#This Row],[Course Title]],'TSD-Data'!$A$1:$F$70,6,FALSE)</f>
        <v>24</v>
      </c>
      <c r="U499" s="378">
        <f>VLOOKUP(Table2[[#This Row],[Course Title]],'TSD-Data'!$A$1:$F$70,5,FALSE)</f>
        <v>3</v>
      </c>
      <c r="V499" s="379">
        <v>114</v>
      </c>
      <c r="W499" s="377"/>
      <c r="X499" s="377"/>
      <c r="Y499" s="378"/>
      <c r="Z499" s="378"/>
      <c r="AA499" s="370"/>
      <c r="AB499" s="370"/>
      <c r="AC499" s="370"/>
      <c r="AD499" s="370"/>
      <c r="AE499" s="378">
        <f ca="1">Table2[[#This Row],[End Date]]+2-TODAY()</f>
        <v>467</v>
      </c>
      <c r="AF499" s="370">
        <f>IF(ISBLANK(Table2[[#This Row],[Roster Received by]]),1,0)</f>
        <v>1</v>
      </c>
      <c r="AG499" s="377">
        <f ca="1">IF(Table2[[#This Row],[Start Date]]&gt;TODAY(),1,)</f>
        <v>1</v>
      </c>
      <c r="AH499" s="377">
        <f>IF(ISBLANK(Table2[[#This Row],[Primary Instructor]]),0,1)</f>
        <v>1</v>
      </c>
      <c r="AI499" s="377">
        <f>IF(ISBLANK(Table2[[#This Row],[Instructor 2]]),0,1)</f>
        <v>0</v>
      </c>
      <c r="AJ499" s="377">
        <f>Table2[[#This Row],[Course Length (Hours)]]/(SUM(Table2[[#This Row],[1]:[2]]))</f>
        <v>24</v>
      </c>
      <c r="AK499" s="370"/>
      <c r="AL499" s="400">
        <v>4</v>
      </c>
      <c r="AM499" s="403" t="str">
        <f>VLOOKUP(Table2[[#This Row],[Course Title]],'TSD-Data'!$A$1:$G$70,7,FALSE)</f>
        <v>N3</v>
      </c>
    </row>
    <row r="500" spans="1:39" s="380" customFormat="1" x14ac:dyDescent="0.25">
      <c r="A500" s="368"/>
      <c r="B500" s="432" t="s">
        <v>55</v>
      </c>
      <c r="C500" s="370" t="str">
        <f>VLOOKUP(Table2[[#This Row],[Course Title]],'TSD-Data'!$A$1:$E$70,2,FALSE)</f>
        <v>A-493-0103</v>
      </c>
      <c r="D500" s="370" t="str">
        <f>VLOOKUP(Table2[[#This Row],[Course Title]],'TSD-Data'!$A$1:$E$70,3,FALSE)</f>
        <v>12JY</v>
      </c>
      <c r="E500" s="369" t="s">
        <v>179</v>
      </c>
      <c r="F500" s="371">
        <v>46286</v>
      </c>
      <c r="G500" s="371">
        <v>46290</v>
      </c>
      <c r="H500" s="371" t="s">
        <v>752</v>
      </c>
      <c r="I500" s="372">
        <v>0.33333333333333331</v>
      </c>
      <c r="J500" s="372"/>
      <c r="K500" s="437"/>
      <c r="L500" s="371"/>
      <c r="M500" s="371"/>
      <c r="N500" s="371"/>
      <c r="O500" s="371"/>
      <c r="P500" s="375" t="s">
        <v>289</v>
      </c>
      <c r="Q500" s="375"/>
      <c r="R500" s="376"/>
      <c r="S500" s="370">
        <f>VLOOKUP(Table2[[#This Row],[Course Title]],'TSD-Data'!$A$1:$E$70,4,FALSE)</f>
        <v>25</v>
      </c>
      <c r="T500" s="377">
        <f>VLOOKUP(Table2[[#This Row],[Course Title]],'TSD-Data'!$A$1:$F$70,6,FALSE)</f>
        <v>40</v>
      </c>
      <c r="U500" s="378">
        <f>VLOOKUP(Table2[[#This Row],[Course Title]],'TSD-Data'!$A$1:$F$70,5,FALSE)</f>
        <v>5</v>
      </c>
      <c r="V500" s="379">
        <v>107</v>
      </c>
      <c r="W500" s="377"/>
      <c r="X500" s="377"/>
      <c r="Y500" s="378"/>
      <c r="Z500" s="378"/>
      <c r="AA500" s="370"/>
      <c r="AB500" s="370"/>
      <c r="AC500" s="370"/>
      <c r="AD500" s="370"/>
      <c r="AE500" s="378">
        <f ca="1">Table2[[#This Row],[End Date]]+2-TODAY()</f>
        <v>474</v>
      </c>
      <c r="AF500" s="370">
        <f>IF(ISBLANK(Table2[[#This Row],[Roster Received by]]),1,0)</f>
        <v>1</v>
      </c>
      <c r="AG500" s="377">
        <f ca="1">IF(Table2[[#This Row],[Start Date]]&gt;TODAY(),1,)</f>
        <v>1</v>
      </c>
      <c r="AH500" s="377">
        <f>IF(ISBLANK(Table2[[#This Row],[Primary Instructor]]),0,1)</f>
        <v>1</v>
      </c>
      <c r="AI500" s="377">
        <f>IF(ISBLANK(Table2[[#This Row],[Instructor 2]]),0,1)</f>
        <v>0</v>
      </c>
      <c r="AJ500" s="377">
        <f>Table2[[#This Row],[Course Length (Hours)]]/(SUM(Table2[[#This Row],[1]:[2]]))</f>
        <v>40</v>
      </c>
      <c r="AK500" s="370"/>
      <c r="AL500" s="400">
        <v>4</v>
      </c>
      <c r="AM500" s="403" t="str">
        <f>VLOOKUP(Table2[[#This Row],[Course Title]],'TSD-Data'!$A$1:$G$70,7,FALSE)</f>
        <v>N5</v>
      </c>
    </row>
    <row r="501" spans="1:39" s="380" customFormat="1" x14ac:dyDescent="0.25">
      <c r="A501" s="427" t="s">
        <v>727</v>
      </c>
      <c r="B501" s="401" t="s">
        <v>17</v>
      </c>
      <c r="C501" s="370" t="str">
        <f>VLOOKUP(Table2[[#This Row],[Course Title]],'TSD-Data'!$A$1:$E$70,2,FALSE)</f>
        <v>A-493-0012</v>
      </c>
      <c r="D501" s="370">
        <f>VLOOKUP(Table2[[#This Row],[Course Title]],'TSD-Data'!$A$1:$E$70,3,FALSE)</f>
        <v>3682</v>
      </c>
      <c r="E501" s="401" t="s">
        <v>333</v>
      </c>
      <c r="F501" s="426">
        <v>46286</v>
      </c>
      <c r="G501" s="426">
        <v>46290</v>
      </c>
      <c r="H501" s="426" t="s">
        <v>753</v>
      </c>
      <c r="I501" s="372">
        <v>0.33333333333333331</v>
      </c>
      <c r="J501" s="372"/>
      <c r="K501" s="437"/>
      <c r="L501" s="371"/>
      <c r="M501" s="371"/>
      <c r="N501" s="371"/>
      <c r="O501" s="371"/>
      <c r="P501" s="375" t="s">
        <v>241</v>
      </c>
      <c r="Q501" s="375"/>
      <c r="R501" s="376"/>
      <c r="S501" s="370">
        <f>VLOOKUP(Table2[[#This Row],[Course Title]],'TSD-Data'!$A$1:$E$70,4,FALSE)</f>
        <v>40</v>
      </c>
      <c r="T501" s="377">
        <f>VLOOKUP(Table2[[#This Row],[Course Title]],'TSD-Data'!$A$1:$F$70,6,FALSE)</f>
        <v>40</v>
      </c>
      <c r="U501" s="378">
        <f>VLOOKUP(Table2[[#This Row],[Course Title]],'TSD-Data'!$A$1:$F$70,5,FALSE)</f>
        <v>5</v>
      </c>
      <c r="V501" s="377">
        <v>42</v>
      </c>
      <c r="W501" s="377"/>
      <c r="X501" s="377"/>
      <c r="Y501" s="378"/>
      <c r="Z501" s="378"/>
      <c r="AA501" s="370"/>
      <c r="AB501" s="370"/>
      <c r="AC501" s="370"/>
      <c r="AD501" s="370"/>
      <c r="AE501" s="378" t="e">
        <v>#REF!</v>
      </c>
      <c r="AF501" s="370">
        <v>0</v>
      </c>
      <c r="AG501" s="377" t="e">
        <v>#REF!</v>
      </c>
      <c r="AH501" s="377">
        <v>1</v>
      </c>
      <c r="AI501" s="377">
        <v>1</v>
      </c>
      <c r="AJ501" s="377" t="e">
        <v>#VALUE!</v>
      </c>
      <c r="AK501" s="370"/>
      <c r="AL501" s="400">
        <v>4</v>
      </c>
      <c r="AM501" s="403" t="str">
        <f>VLOOKUP(Table2[[#This Row],[Course Title]],'TSD-Data'!$A$1:$G$70,7,FALSE)</f>
        <v>N4</v>
      </c>
    </row>
    <row r="502" spans="1:39" s="380" customFormat="1" x14ac:dyDescent="0.25">
      <c r="A502" s="430" t="s">
        <v>728</v>
      </c>
      <c r="B502" s="401" t="s">
        <v>17</v>
      </c>
      <c r="C502" s="370" t="str">
        <f>VLOOKUP(Table2[[#This Row],[Course Title]],'TSD-Data'!$A$1:$E$70,2,FALSE)</f>
        <v>A-493-0012</v>
      </c>
      <c r="D502" s="370">
        <f>VLOOKUP(Table2[[#This Row],[Course Title]],'TSD-Data'!$A$1:$E$70,3,FALSE)</f>
        <v>3682</v>
      </c>
      <c r="E502" s="401" t="s">
        <v>172</v>
      </c>
      <c r="F502" s="426">
        <v>46286</v>
      </c>
      <c r="G502" s="426">
        <v>46290</v>
      </c>
      <c r="H502" s="426" t="s">
        <v>753</v>
      </c>
      <c r="I502" s="372">
        <v>0.33333333333333331</v>
      </c>
      <c r="J502" s="372"/>
      <c r="K502" s="371"/>
      <c r="L502" s="371"/>
      <c r="M502" s="371"/>
      <c r="N502" s="371"/>
      <c r="O502" s="371"/>
      <c r="P502" s="375" t="s">
        <v>241</v>
      </c>
      <c r="Q502" s="375"/>
      <c r="R502" s="376"/>
      <c r="S502" s="370">
        <f>VLOOKUP(Table2[[#This Row],[Course Title]],'TSD-Data'!$A$1:$E$70,4,FALSE)</f>
        <v>40</v>
      </c>
      <c r="T502" s="377">
        <f>VLOOKUP(Table2[[#This Row],[Course Title]],'TSD-Data'!$A$1:$F$70,6,FALSE)</f>
        <v>40</v>
      </c>
      <c r="U502" s="378">
        <f>VLOOKUP(Table2[[#This Row],[Course Title]],'TSD-Data'!$A$1:$F$70,5,FALSE)</f>
        <v>5</v>
      </c>
      <c r="V502" s="377">
        <v>32</v>
      </c>
      <c r="W502" s="377"/>
      <c r="X502" s="377"/>
      <c r="Y502" s="378"/>
      <c r="Z502" s="378"/>
      <c r="AA502" s="370"/>
      <c r="AB502" s="370"/>
      <c r="AC502" s="370"/>
      <c r="AD502" s="370"/>
      <c r="AE502" s="378" t="e">
        <v>#REF!</v>
      </c>
      <c r="AF502" s="370">
        <v>0</v>
      </c>
      <c r="AG502" s="377" t="e">
        <v>#REF!</v>
      </c>
      <c r="AH502" s="377">
        <v>1</v>
      </c>
      <c r="AI502" s="377">
        <v>1</v>
      </c>
      <c r="AJ502" s="377" t="e">
        <v>#VALUE!</v>
      </c>
      <c r="AK502" s="370"/>
      <c r="AL502" s="400">
        <v>4</v>
      </c>
      <c r="AM502" s="403" t="str">
        <f>VLOOKUP(Table2[[#This Row],[Course Title]],'TSD-Data'!$A$1:$G$70,7,FALSE)</f>
        <v>N4</v>
      </c>
    </row>
    <row r="503" spans="1:39" s="380" customFormat="1" x14ac:dyDescent="0.25">
      <c r="A503" s="368"/>
      <c r="B503" s="369" t="s">
        <v>120</v>
      </c>
      <c r="C503" s="370" t="str">
        <f>VLOOKUP(Table2[[#This Row],[Course Title]],'TSD-Data'!$A$1:$E$70,2,FALSE)</f>
        <v>A-322-2604</v>
      </c>
      <c r="D503" s="370" t="str">
        <f>VLOOKUP(Table2[[#This Row],[Course Title]],'TSD-Data'!$A$1:$E$70,3,FALSE)</f>
        <v>10ZZ</v>
      </c>
      <c r="E503" s="369" t="s">
        <v>86</v>
      </c>
      <c r="F503" s="371">
        <v>46286</v>
      </c>
      <c r="G503" s="371">
        <v>46288</v>
      </c>
      <c r="H503" s="371" t="s">
        <v>752</v>
      </c>
      <c r="I503" s="372"/>
      <c r="J503" s="399">
        <v>0.5</v>
      </c>
      <c r="K503" s="381">
        <v>0.375</v>
      </c>
      <c r="L503" s="381">
        <v>0.79166666666666663</v>
      </c>
      <c r="M503" s="381">
        <v>0.75</v>
      </c>
      <c r="N503" s="381">
        <v>0.25</v>
      </c>
      <c r="O503" s="381">
        <v>4.1666666666666664E-2</v>
      </c>
      <c r="P503" s="375" t="s">
        <v>248</v>
      </c>
      <c r="Q503" s="375"/>
      <c r="R503" s="376"/>
      <c r="S503" s="370">
        <f>VLOOKUP(Table2[[#This Row],[Course Title]],'TSD-Data'!$A$1:$E$70,4,FALSE)</f>
        <v>45</v>
      </c>
      <c r="T503" s="377">
        <f>VLOOKUP(Table2[[#This Row],[Course Title]],'TSD-Data'!$A$1:$F$70,6,FALSE)</f>
        <v>24</v>
      </c>
      <c r="U503" s="378">
        <f>VLOOKUP(Table2[[#This Row],[Course Title]],'TSD-Data'!$A$1:$F$70,5,FALSE)</f>
        <v>3</v>
      </c>
      <c r="V503" s="379">
        <v>621</v>
      </c>
      <c r="W503" s="377"/>
      <c r="X503" s="377"/>
      <c r="Y503" s="378"/>
      <c r="Z503" s="378"/>
      <c r="AA503" s="370"/>
      <c r="AB503" s="370"/>
      <c r="AC503" s="370"/>
      <c r="AD503" s="370"/>
      <c r="AE503" s="378">
        <f ca="1">Table2[[#This Row],[End Date]]+2-TODAY()</f>
        <v>472</v>
      </c>
      <c r="AF503" s="370">
        <f>IF(ISBLANK(Table2[[#This Row],[Roster Received by]]),1,0)</f>
        <v>1</v>
      </c>
      <c r="AG503" s="377">
        <f ca="1">IF(Table2[[#This Row],[Start Date]]&gt;TODAY(),1,)</f>
        <v>1</v>
      </c>
      <c r="AH503" s="377">
        <f>IF(ISBLANK(Table2[[#This Row],[Primary Instructor]]),0,1)</f>
        <v>1</v>
      </c>
      <c r="AI503" s="377">
        <f>IF(ISBLANK(Table2[[#This Row],[Instructor 2]]),0,1)</f>
        <v>0</v>
      </c>
      <c r="AJ503" s="377">
        <f>Table2[[#This Row],[Course Length (Hours)]]/(SUM(Table2[[#This Row],[1]:[2]]))</f>
        <v>24</v>
      </c>
      <c r="AK503" s="370"/>
      <c r="AL503" s="400">
        <v>4</v>
      </c>
      <c r="AM503" s="403" t="str">
        <f>VLOOKUP(Table2[[#This Row],[Course Title]],'TSD-Data'!$A$1:$G$70,7,FALSE)</f>
        <v>N3</v>
      </c>
    </row>
    <row r="504" spans="1:39" s="380" customFormat="1" x14ac:dyDescent="0.25">
      <c r="A504" s="413"/>
      <c r="B504" s="369" t="s">
        <v>29</v>
      </c>
      <c r="C504" s="370" t="str">
        <f>VLOOKUP(Table2[[#This Row],[Course Title]],'TSD-Data'!$A$1:$E$70,2,FALSE)</f>
        <v>A-493-0077</v>
      </c>
      <c r="D504" s="370" t="str">
        <f>VLOOKUP(Table2[[#This Row],[Course Title]],'TSD-Data'!$A$1:$E$70,3,FALSE)</f>
        <v>0381</v>
      </c>
      <c r="E504" s="414" t="s">
        <v>250</v>
      </c>
      <c r="F504" s="416">
        <v>46286</v>
      </c>
      <c r="G504" s="416">
        <v>46288</v>
      </c>
      <c r="H504" s="426" t="s">
        <v>753</v>
      </c>
      <c r="I504" s="372">
        <v>0.33333333333333331</v>
      </c>
      <c r="J504" s="417"/>
      <c r="K504" s="416"/>
      <c r="L504" s="416"/>
      <c r="M504" s="416"/>
      <c r="N504" s="416"/>
      <c r="O504" s="416"/>
      <c r="P504" s="418" t="s">
        <v>241</v>
      </c>
      <c r="Q504" s="418"/>
      <c r="R504" s="376"/>
      <c r="S504" s="370">
        <f>VLOOKUP(Table2[[#This Row],[Course Title]],'TSD-Data'!$A$1:$E$70,4,FALSE)</f>
        <v>25</v>
      </c>
      <c r="T504" s="377">
        <f>VLOOKUP(Table2[[#This Row],[Course Title]],'TSD-Data'!$A$1:$F$70,6,FALSE)</f>
        <v>24</v>
      </c>
      <c r="U504" s="378">
        <f>VLOOKUP(Table2[[#This Row],[Course Title]],'TSD-Data'!$A$1:$F$70,5,FALSE)</f>
        <v>3</v>
      </c>
      <c r="V504" s="379">
        <v>31</v>
      </c>
      <c r="W504" s="377"/>
      <c r="X504" s="377"/>
      <c r="Y504" s="420"/>
      <c r="Z504" s="420"/>
      <c r="AA504" s="415"/>
      <c r="AB504" s="415"/>
      <c r="AC504" s="421"/>
      <c r="AD504" s="421"/>
      <c r="AE504" s="420">
        <v>483</v>
      </c>
      <c r="AF504" s="415">
        <v>1</v>
      </c>
      <c r="AG504" s="403">
        <v>1</v>
      </c>
      <c r="AH504" s="403">
        <v>0</v>
      </c>
      <c r="AI504" s="403">
        <v>0</v>
      </c>
      <c r="AJ504" s="403" t="e">
        <v>#DIV/0!</v>
      </c>
      <c r="AK504" s="415"/>
      <c r="AL504" s="400">
        <v>4</v>
      </c>
      <c r="AM504" s="403" t="str">
        <f>VLOOKUP(Table2[[#This Row],[Course Title]],'TSD-Data'!$A$1:$G$70,7,FALSE)</f>
        <v>N4</v>
      </c>
    </row>
    <row r="505" spans="1:39" s="380" customFormat="1" x14ac:dyDescent="0.25">
      <c r="A505" s="368"/>
      <c r="B505" s="369" t="s">
        <v>61</v>
      </c>
      <c r="C505" s="370" t="str">
        <f>VLOOKUP(Table2[[#This Row],[Course Title]],'TSD-Data'!$A$1:$E$70,2,FALSE)</f>
        <v>A-493-0078</v>
      </c>
      <c r="D505" s="370">
        <f>VLOOKUP(Table2[[#This Row],[Course Title]],'TSD-Data'!$A$1:$E$70,3,FALSE)</f>
        <v>1228</v>
      </c>
      <c r="E505" s="369" t="s">
        <v>86</v>
      </c>
      <c r="F505" s="371">
        <v>46286</v>
      </c>
      <c r="G505" s="371">
        <v>46289</v>
      </c>
      <c r="H505" s="371" t="s">
        <v>752</v>
      </c>
      <c r="I505" s="372"/>
      <c r="J505" s="372">
        <v>0.33333333333333331</v>
      </c>
      <c r="K505" s="372">
        <v>0.20833333333333334</v>
      </c>
      <c r="L505" s="372">
        <v>0.625</v>
      </c>
      <c r="M505" s="372">
        <v>0.54166666666666663</v>
      </c>
      <c r="N505" s="372">
        <v>8.3333333333333329E-2</v>
      </c>
      <c r="O505" s="372">
        <v>0.875</v>
      </c>
      <c r="P505" s="375" t="s">
        <v>256</v>
      </c>
      <c r="Q505" s="375"/>
      <c r="R505" s="376"/>
      <c r="S505" s="370">
        <f>VLOOKUP(Table2[[#This Row],[Course Title]],'TSD-Data'!$A$1:$E$70,4,FALSE)</f>
        <v>45</v>
      </c>
      <c r="T505" s="377">
        <f>VLOOKUP(Table2[[#This Row],[Course Title]],'TSD-Data'!$A$1:$F$70,6,FALSE)</f>
        <v>32</v>
      </c>
      <c r="U505" s="378">
        <f>VLOOKUP(Table2[[#This Row],[Course Title]],'TSD-Data'!$A$1:$F$70,5,FALSE)</f>
        <v>4</v>
      </c>
      <c r="V505" s="379">
        <v>454</v>
      </c>
      <c r="W505" s="377"/>
      <c r="X505" s="377"/>
      <c r="Y505" s="378"/>
      <c r="Z505" s="378"/>
      <c r="AA505" s="370"/>
      <c r="AB505" s="370"/>
      <c r="AC505" s="370"/>
      <c r="AD505" s="370"/>
      <c r="AE505" s="378">
        <f ca="1">Table2[[#This Row],[End Date]]+2-TODAY()</f>
        <v>473</v>
      </c>
      <c r="AF505" s="370">
        <f>IF(ISBLANK(Table2[[#This Row],[Roster Received by]]),1,0)</f>
        <v>1</v>
      </c>
      <c r="AG505" s="377">
        <f ca="1">IF(Table2[[#This Row],[Start Date]]&gt;TODAY(),1,)</f>
        <v>1</v>
      </c>
      <c r="AH505" s="377">
        <f>IF(ISBLANK(Table2[[#This Row],[Primary Instructor]]),0,1)</f>
        <v>1</v>
      </c>
      <c r="AI505" s="377">
        <f>IF(ISBLANK(Table2[[#This Row],[Instructor 2]]),0,1)</f>
        <v>0</v>
      </c>
      <c r="AJ505" s="377">
        <f>Table2[[#This Row],[Course Length (Hours)]]/(SUM(Table2[[#This Row],[1]:[2]]))</f>
        <v>32</v>
      </c>
      <c r="AK505" s="370"/>
      <c r="AL505" s="400">
        <v>4</v>
      </c>
      <c r="AM505" s="403" t="str">
        <f>VLOOKUP(Table2[[#This Row],[Course Title]],'TSD-Data'!$A$1:$G$70,7,FALSE)</f>
        <v>N5</v>
      </c>
    </row>
    <row r="506" spans="1:39" s="380" customFormat="1" x14ac:dyDescent="0.25">
      <c r="A506" s="368"/>
      <c r="B506" s="432" t="s">
        <v>52</v>
      </c>
      <c r="C506" s="370" t="str">
        <f>VLOOKUP(Table2[[#This Row],[Course Title]],'TSD-Data'!$A$1:$E$70,2,FALSE)</f>
        <v>A-493-0085</v>
      </c>
      <c r="D506" s="370">
        <f>VLOOKUP(Table2[[#This Row],[Course Title]],'TSD-Data'!$A$1:$E$70,3,FALSE)</f>
        <v>3555</v>
      </c>
      <c r="E506" s="369" t="s">
        <v>86</v>
      </c>
      <c r="F506" s="371">
        <v>46286</v>
      </c>
      <c r="G506" s="371">
        <v>46289</v>
      </c>
      <c r="H506" s="371" t="s">
        <v>752</v>
      </c>
      <c r="I506" s="372"/>
      <c r="J506" s="372">
        <v>0.79166666666666663</v>
      </c>
      <c r="K506" s="381">
        <v>0.66666666666666663</v>
      </c>
      <c r="L506" s="381">
        <v>8.3333333333333329E-2</v>
      </c>
      <c r="M506" s="381">
        <v>0</v>
      </c>
      <c r="N506" s="381">
        <v>0.54166666666666663</v>
      </c>
      <c r="O506" s="381">
        <v>0.33333333333333331</v>
      </c>
      <c r="P506" s="375" t="s">
        <v>297</v>
      </c>
      <c r="Q506" s="375"/>
      <c r="R506" s="376"/>
      <c r="S506" s="370">
        <f>VLOOKUP(Table2[[#This Row],[Course Title]],'TSD-Data'!$A$1:$E$70,4,FALSE)</f>
        <v>45</v>
      </c>
      <c r="T506" s="377">
        <f>VLOOKUP(Table2[[#This Row],[Course Title]],'TSD-Data'!$A$1:$F$70,6,FALSE)</f>
        <v>32</v>
      </c>
      <c r="U506" s="378">
        <f>VLOOKUP(Table2[[#This Row],[Course Title]],'TSD-Data'!$A$1:$F$70,5,FALSE)</f>
        <v>4</v>
      </c>
      <c r="V506" s="379">
        <v>166</v>
      </c>
      <c r="W506" s="377"/>
      <c r="X506" s="377"/>
      <c r="Y506" s="378"/>
      <c r="Z506" s="378"/>
      <c r="AA506" s="370"/>
      <c r="AB506" s="370"/>
      <c r="AC506" s="370"/>
      <c r="AD506" s="370"/>
      <c r="AE506" s="378">
        <f ca="1">Table2[[#This Row],[End Date]]+2-TODAY()</f>
        <v>473</v>
      </c>
      <c r="AF506" s="370">
        <f>IF(ISBLANK(Table2[[#This Row],[Roster Received by]]),1,0)</f>
        <v>1</v>
      </c>
      <c r="AG506" s="377">
        <f ca="1">IF(Table2[[#This Row],[Start Date]]&gt;TODAY(),1,)</f>
        <v>1</v>
      </c>
      <c r="AH506" s="377">
        <f>IF(ISBLANK(Table2[[#This Row],[Primary Instructor]]),0,1)</f>
        <v>1</v>
      </c>
      <c r="AI506" s="377">
        <f>IF(ISBLANK(Table2[[#This Row],[Instructor 2]]),0,1)</f>
        <v>0</v>
      </c>
      <c r="AJ506" s="377">
        <f>Table2[[#This Row],[Course Length (Hours)]]/(SUM(Table2[[#This Row],[1]:[2]]))</f>
        <v>32</v>
      </c>
      <c r="AK506" s="370"/>
      <c r="AL506" s="400">
        <v>4</v>
      </c>
      <c r="AM506" s="403" t="str">
        <f>VLOOKUP(Table2[[#This Row],[Course Title]],'TSD-Data'!$A$1:$G$70,7,FALSE)</f>
        <v>N3</v>
      </c>
    </row>
    <row r="507" spans="1:39" s="380" customFormat="1" x14ac:dyDescent="0.25">
      <c r="A507" s="368"/>
      <c r="B507" s="369" t="s">
        <v>53</v>
      </c>
      <c r="C507" s="370" t="str">
        <f>VLOOKUP(Table2[[#This Row],[Course Title]],'TSD-Data'!$A$1:$E$70,2,FALSE)</f>
        <v>A-493-0072</v>
      </c>
      <c r="D507" s="370" t="str">
        <f>VLOOKUP(Table2[[#This Row],[Course Title]],'TSD-Data'!$A$1:$E$70,3,FALSE)</f>
        <v>713U</v>
      </c>
      <c r="E507" s="369" t="s">
        <v>169</v>
      </c>
      <c r="F507" s="371">
        <v>46286</v>
      </c>
      <c r="G507" s="371">
        <v>46290</v>
      </c>
      <c r="H507" s="371" t="s">
        <v>752</v>
      </c>
      <c r="I507" s="372">
        <v>0.33333333333333331</v>
      </c>
      <c r="J507" s="372"/>
      <c r="K507" s="371"/>
      <c r="L507" s="371"/>
      <c r="M507" s="371"/>
      <c r="N507" s="371"/>
      <c r="O507" s="371"/>
      <c r="P507" s="375" t="s">
        <v>238</v>
      </c>
      <c r="Q507" s="375"/>
      <c r="R507" s="376"/>
      <c r="S507" s="370">
        <f>VLOOKUP(Table2[[#This Row],[Course Title]],'TSD-Data'!$A$1:$E$70,4,FALSE)</f>
        <v>30</v>
      </c>
      <c r="T507" s="377">
        <f>VLOOKUP(Table2[[#This Row],[Course Title]],'TSD-Data'!$A$1:$F$70,6,FALSE)</f>
        <v>40</v>
      </c>
      <c r="U507" s="378">
        <f>VLOOKUP(Table2[[#This Row],[Course Title]],'TSD-Data'!$A$1:$F$70,5,FALSE)</f>
        <v>5</v>
      </c>
      <c r="V507" s="379">
        <v>178</v>
      </c>
      <c r="W507" s="377"/>
      <c r="X507" s="377"/>
      <c r="Y507" s="378"/>
      <c r="Z507" s="378"/>
      <c r="AA507" s="370"/>
      <c r="AB507" s="370"/>
      <c r="AC507" s="370"/>
      <c r="AD507" s="370"/>
      <c r="AE507" s="378">
        <f ca="1">Table2[[#This Row],[End Date]]+2-TODAY()</f>
        <v>474</v>
      </c>
      <c r="AF507" s="370">
        <f>IF(ISBLANK(Table2[[#This Row],[Roster Received by]]),1,0)</f>
        <v>1</v>
      </c>
      <c r="AG507" s="377">
        <f ca="1">IF(Table2[[#This Row],[Start Date]]&gt;TODAY(),1,)</f>
        <v>1</v>
      </c>
      <c r="AH507" s="377">
        <f>IF(ISBLANK(Table2[[#This Row],[Primary Instructor]]),0,1)</f>
        <v>1</v>
      </c>
      <c r="AI507" s="377">
        <f>IF(ISBLANK(Table2[[#This Row],[Instructor 2]]),0,1)</f>
        <v>0</v>
      </c>
      <c r="AJ507" s="377">
        <f>Table2[[#This Row],[Course Length (Hours)]]/(SUM(Table2[[#This Row],[1]:[2]]))</f>
        <v>40</v>
      </c>
      <c r="AK507" s="370"/>
      <c r="AL507" s="400">
        <v>4</v>
      </c>
      <c r="AM507" s="403" t="str">
        <f>VLOOKUP(Table2[[#This Row],[Course Title]],'TSD-Data'!$A$1:$G$70,7,FALSE)</f>
        <v>N3</v>
      </c>
    </row>
    <row r="508" spans="1:39" s="380" customFormat="1" x14ac:dyDescent="0.25">
      <c r="A508" s="368"/>
      <c r="B508" s="369" t="s">
        <v>51</v>
      </c>
      <c r="C508" s="370" t="str">
        <f>VLOOKUP(Table2[[#This Row],[Course Title]],'TSD-Data'!$A$1:$E$70,2,FALSE)</f>
        <v>A-493-0335</v>
      </c>
      <c r="D508" s="370" t="str">
        <f>VLOOKUP(Table2[[#This Row],[Course Title]],'TSD-Data'!$A$1:$E$70,3,FALSE)</f>
        <v>09ND</v>
      </c>
      <c r="E508" s="369" t="s">
        <v>86</v>
      </c>
      <c r="F508" s="371">
        <v>46287</v>
      </c>
      <c r="G508" s="371">
        <v>46290</v>
      </c>
      <c r="H508" s="371" t="s">
        <v>752</v>
      </c>
      <c r="I508" s="372"/>
      <c r="J508" s="372">
        <v>0.33333333333333331</v>
      </c>
      <c r="K508" s="372">
        <v>0.20833333333333334</v>
      </c>
      <c r="L508" s="372">
        <v>0.625</v>
      </c>
      <c r="M508" s="372">
        <v>0.54166666666666663</v>
      </c>
      <c r="N508" s="372">
        <v>8.3333333333333329E-2</v>
      </c>
      <c r="O508" s="372">
        <v>0.875</v>
      </c>
      <c r="P508" s="375" t="s">
        <v>292</v>
      </c>
      <c r="Q508" s="375"/>
      <c r="R508" s="376"/>
      <c r="S508" s="370">
        <f>VLOOKUP(Table2[[#This Row],[Course Title]],'TSD-Data'!$A$1:$E$70,4,FALSE)</f>
        <v>45</v>
      </c>
      <c r="T508" s="377">
        <f>VLOOKUP(Table2[[#This Row],[Course Title]],'TSD-Data'!$A$1:$F$70,6,FALSE)</f>
        <v>32</v>
      </c>
      <c r="U508" s="378">
        <f>VLOOKUP(Table2[[#This Row],[Course Title]],'TSD-Data'!$A$1:$F$70,5,FALSE)</f>
        <v>4</v>
      </c>
      <c r="V508" s="379">
        <v>301</v>
      </c>
      <c r="W508" s="377"/>
      <c r="X508" s="377"/>
      <c r="Y508" s="378"/>
      <c r="Z508" s="378"/>
      <c r="AA508" s="370"/>
      <c r="AB508" s="370"/>
      <c r="AC508" s="370"/>
      <c r="AD508" s="370"/>
      <c r="AE508" s="378">
        <f ca="1">Table2[[#This Row],[End Date]]+2-TODAY()</f>
        <v>474</v>
      </c>
      <c r="AF508" s="370">
        <f>IF(ISBLANK(Table2[[#This Row],[Roster Received by]]),1,0)</f>
        <v>1</v>
      </c>
      <c r="AG508" s="377">
        <f ca="1">IF(Table2[[#This Row],[Start Date]]&gt;TODAY(),1,)</f>
        <v>1</v>
      </c>
      <c r="AH508" s="377">
        <f>IF(ISBLANK(Table2[[#This Row],[Primary Instructor]]),0,1)</f>
        <v>1</v>
      </c>
      <c r="AI508" s="377">
        <f>IF(ISBLANK(Table2[[#This Row],[Instructor 2]]),0,1)</f>
        <v>0</v>
      </c>
      <c r="AJ508" s="377">
        <f>Table2[[#This Row],[Course Length (Hours)]]/(SUM(Table2[[#This Row],[1]:[2]]))</f>
        <v>32</v>
      </c>
      <c r="AK508" s="370"/>
      <c r="AL508" s="400">
        <v>4</v>
      </c>
      <c r="AM508" s="403" t="str">
        <f>VLOOKUP(Table2[[#This Row],[Course Title]],'TSD-Data'!$A$1:$G$70,7,FALSE)</f>
        <v>N3</v>
      </c>
    </row>
    <row r="509" spans="1:39" s="380" customFormat="1" x14ac:dyDescent="0.25">
      <c r="A509" s="413" t="s">
        <v>400</v>
      </c>
      <c r="B509" s="414" t="s">
        <v>28</v>
      </c>
      <c r="C509" s="370" t="str">
        <f>VLOOKUP(Table2[[#This Row],[Course Title]],'TSD-Data'!$A$1:$E$70,2,FALSE)</f>
        <v>A-493-0013</v>
      </c>
      <c r="D509" s="370">
        <f>VLOOKUP(Table2[[#This Row],[Course Title]],'TSD-Data'!$A$1:$E$70,3,FALSE)</f>
        <v>3683</v>
      </c>
      <c r="E509" s="414" t="s">
        <v>400</v>
      </c>
      <c r="F509" s="416">
        <v>46293</v>
      </c>
      <c r="G509" s="416">
        <v>46295</v>
      </c>
      <c r="H509" s="426" t="s">
        <v>753</v>
      </c>
      <c r="I509" s="417">
        <v>0.33333333333333331</v>
      </c>
      <c r="J509" s="417"/>
      <c r="K509" s="416"/>
      <c r="L509" s="416"/>
      <c r="M509" s="416"/>
      <c r="N509" s="416"/>
      <c r="O509" s="416"/>
      <c r="P509" s="418" t="s">
        <v>241</v>
      </c>
      <c r="Q509" s="418"/>
      <c r="R509" s="376"/>
      <c r="S509" s="370">
        <f>VLOOKUP(Table2[[#This Row],[Course Title]],'TSD-Data'!$A$1:$E$70,4,FALSE)</f>
        <v>40</v>
      </c>
      <c r="T509" s="377">
        <f>VLOOKUP(Table2[[#This Row],[Course Title]],'TSD-Data'!$A$1:$F$70,6,FALSE)</f>
        <v>24</v>
      </c>
      <c r="U509" s="378">
        <f>VLOOKUP(Table2[[#This Row],[Course Title]],'TSD-Data'!$A$1:$F$70,5,FALSE)</f>
        <v>3</v>
      </c>
      <c r="V509" s="379">
        <v>30</v>
      </c>
      <c r="W509" s="377"/>
      <c r="X509" s="377"/>
      <c r="Y509" s="420"/>
      <c r="Z509" s="420"/>
      <c r="AA509" s="415"/>
      <c r="AB509" s="415"/>
      <c r="AC509" s="421"/>
      <c r="AD509" s="421"/>
      <c r="AE509" s="420">
        <v>490</v>
      </c>
      <c r="AF509" s="415">
        <v>1</v>
      </c>
      <c r="AG509" s="403">
        <v>1</v>
      </c>
      <c r="AH509" s="403">
        <v>1</v>
      </c>
      <c r="AI509" s="403">
        <v>0</v>
      </c>
      <c r="AJ509" s="403">
        <v>24</v>
      </c>
      <c r="AK509" s="415"/>
      <c r="AL509" s="400">
        <v>4</v>
      </c>
      <c r="AM509" s="403" t="str">
        <f>VLOOKUP(Table2[[#This Row],[Course Title]],'TSD-Data'!$A$1:$G$70,7,FALSE)</f>
        <v>N4</v>
      </c>
    </row>
    <row r="510" spans="1:39" s="380" customFormat="1" x14ac:dyDescent="0.25">
      <c r="A510" s="368"/>
      <c r="B510" s="435" t="s">
        <v>50</v>
      </c>
      <c r="C510" s="370" t="str">
        <f>VLOOKUP(Table2[[#This Row],[Course Title]],'TSD-Data'!$A$1:$E$70,2,FALSE)</f>
        <v>A-493-0331</v>
      </c>
      <c r="D510" s="370" t="str">
        <f>VLOOKUP(Table2[[#This Row],[Course Title]],'TSD-Data'!$A$1:$E$70,3,FALSE)</f>
        <v>10UG</v>
      </c>
      <c r="E510" s="369" t="s">
        <v>86</v>
      </c>
      <c r="F510" s="371">
        <v>46293</v>
      </c>
      <c r="G510" s="371">
        <v>46295</v>
      </c>
      <c r="H510" s="371" t="s">
        <v>752</v>
      </c>
      <c r="I510" s="372"/>
      <c r="J510" s="372">
        <v>0.5</v>
      </c>
      <c r="K510" s="381">
        <v>0.375</v>
      </c>
      <c r="L510" s="381">
        <v>0.79166666666666663</v>
      </c>
      <c r="M510" s="381">
        <v>0.75</v>
      </c>
      <c r="N510" s="381">
        <v>0.25</v>
      </c>
      <c r="O510" s="381">
        <v>4.1666666666666664E-2</v>
      </c>
      <c r="P510" s="375" t="s">
        <v>233</v>
      </c>
      <c r="Q510" s="375"/>
      <c r="R510" s="376"/>
      <c r="S510" s="370">
        <f>VLOOKUP(Table2[[#This Row],[Course Title]],'TSD-Data'!$A$1:$E$70,4,FALSE)</f>
        <v>45</v>
      </c>
      <c r="T510" s="377">
        <f>VLOOKUP(Table2[[#This Row],[Course Title]],'TSD-Data'!$A$1:$F$70,6,FALSE)</f>
        <v>24</v>
      </c>
      <c r="U510" s="378">
        <f>VLOOKUP(Table2[[#This Row],[Course Title]],'TSD-Data'!$A$1:$F$70,5,FALSE)</f>
        <v>3</v>
      </c>
      <c r="V510" s="379">
        <v>844</v>
      </c>
      <c r="W510" s="377"/>
      <c r="X510" s="377"/>
      <c r="Y510" s="378"/>
      <c r="Z510" s="378"/>
      <c r="AA510" s="370"/>
      <c r="AB510" s="370"/>
      <c r="AC510" s="370"/>
      <c r="AD510" s="370"/>
      <c r="AE510" s="378">
        <f ca="1">Table2[[#This Row],[End Date]]+2-TODAY()</f>
        <v>479</v>
      </c>
      <c r="AF510" s="370">
        <f>IF(ISBLANK(Table2[[#This Row],[Roster Received by]]),1,0)</f>
        <v>1</v>
      </c>
      <c r="AG510" s="377">
        <f ca="1">IF(Table2[[#This Row],[Start Date]]&gt;TODAY(),1,)</f>
        <v>1</v>
      </c>
      <c r="AH510" s="377">
        <f>IF(ISBLANK(Table2[[#This Row],[Primary Instructor]]),0,1)</f>
        <v>1</v>
      </c>
      <c r="AI510" s="377">
        <f>IF(ISBLANK(Table2[[#This Row],[Instructor 2]]),0,1)</f>
        <v>0</v>
      </c>
      <c r="AJ510" s="377">
        <f>Table2[[#This Row],[Course Length (Hours)]]/(SUM(Table2[[#This Row],[1]:[2]]))</f>
        <v>24</v>
      </c>
      <c r="AK510" s="370"/>
      <c r="AL510" s="400">
        <v>4</v>
      </c>
      <c r="AM510" s="403" t="str">
        <f>VLOOKUP(Table2[[#This Row],[Course Title]],'TSD-Data'!$A$1:$G$70,7,FALSE)</f>
        <v>N3</v>
      </c>
    </row>
    <row r="511" spans="1:39" s="380" customFormat="1" x14ac:dyDescent="0.25">
      <c r="A511" s="368"/>
      <c r="B511" s="369" t="s">
        <v>39</v>
      </c>
      <c r="C511" s="370" t="str">
        <f>VLOOKUP(Table2[[#This Row],[Course Title]],'TSD-Data'!$A$1:$E$70,2,FALSE)</f>
        <v>A-570-0100</v>
      </c>
      <c r="D511" s="370" t="str">
        <f>VLOOKUP(Table2[[#This Row],[Course Title]],'TSD-Data'!$A$1:$E$70,3,FALSE)</f>
        <v>18B7</v>
      </c>
      <c r="E511" s="369" t="s">
        <v>86</v>
      </c>
      <c r="F511" s="371">
        <v>46293</v>
      </c>
      <c r="G511" s="371">
        <v>46294</v>
      </c>
      <c r="H511" s="371" t="s">
        <v>752</v>
      </c>
      <c r="I511" s="372"/>
      <c r="J511" s="372">
        <v>0.5</v>
      </c>
      <c r="K511" s="381">
        <v>0.375</v>
      </c>
      <c r="L511" s="381">
        <v>0.79166666666666663</v>
      </c>
      <c r="M511" s="381">
        <v>0.75</v>
      </c>
      <c r="N511" s="381">
        <v>0.25</v>
      </c>
      <c r="O511" s="381">
        <v>4.1666666666666664E-2</v>
      </c>
      <c r="P511" s="375" t="s">
        <v>252</v>
      </c>
      <c r="Q511" s="375"/>
      <c r="R511" s="376"/>
      <c r="S511" s="370">
        <f>VLOOKUP(Table2[[#This Row],[Course Title]],'TSD-Data'!$A$1:$E$70,4,FALSE)</f>
        <v>45</v>
      </c>
      <c r="T511" s="377">
        <f>VLOOKUP(Table2[[#This Row],[Course Title]],'TSD-Data'!$A$1:$F$70,6,FALSE)</f>
        <v>16</v>
      </c>
      <c r="U511" s="378">
        <f>VLOOKUP(Table2[[#This Row],[Course Title]],'TSD-Data'!$A$1:$F$70,5,FALSE)</f>
        <v>2</v>
      </c>
      <c r="V511" s="379">
        <v>663</v>
      </c>
      <c r="W511" s="377"/>
      <c r="X511" s="377"/>
      <c r="Y511" s="378"/>
      <c r="Z511" s="378"/>
      <c r="AA511" s="370"/>
      <c r="AB511" s="370"/>
      <c r="AC511" s="370"/>
      <c r="AD511" s="370"/>
      <c r="AE511" s="378">
        <f ca="1">Table2[[#This Row],[End Date]]+2-TODAY()</f>
        <v>478</v>
      </c>
      <c r="AF511" s="370">
        <f>IF(ISBLANK(Table2[[#This Row],[Roster Received by]]),1,0)</f>
        <v>1</v>
      </c>
      <c r="AG511" s="377">
        <f ca="1">IF(Table2[[#This Row],[Start Date]]&gt;TODAY(),1,)</f>
        <v>1</v>
      </c>
      <c r="AH511" s="377">
        <f>IF(ISBLANK(Table2[[#This Row],[Primary Instructor]]),0,1)</f>
        <v>1</v>
      </c>
      <c r="AI511" s="377">
        <f>IF(ISBLANK(Table2[[#This Row],[Instructor 2]]),0,1)</f>
        <v>0</v>
      </c>
      <c r="AJ511" s="377">
        <f>Table2[[#This Row],[Course Length (Hours)]]/(SUM(Table2[[#This Row],[1]:[2]]))</f>
        <v>16</v>
      </c>
      <c r="AK511" s="370"/>
      <c r="AL511" s="400">
        <v>4</v>
      </c>
      <c r="AM511" s="403" t="str">
        <f>VLOOKUP(Table2[[#This Row],[Course Title]],'TSD-Data'!$A$1:$G$70,7,FALSE)</f>
        <v>N5</v>
      </c>
    </row>
    <row r="512" spans="1:39" x14ac:dyDescent="0.25">
      <c r="A512" s="156" t="s">
        <v>62</v>
      </c>
      <c r="B512" s="156">
        <f>SUBTOTAL(103,Table2[Course Title])</f>
        <v>508</v>
      </c>
      <c r="C512" s="156"/>
      <c r="D512" s="156"/>
      <c r="E512" s="156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252"/>
      <c r="Q512" s="252"/>
      <c r="R512" s="252"/>
      <c r="S512" s="156">
        <f>SUBTOTAL(109,Table2[Quotas])</f>
        <v>19990</v>
      </c>
      <c r="T512" s="156">
        <f>SUBTOTAL(109,Table2[Course Length (Hours)])</f>
        <v>12006.75</v>
      </c>
      <c r="U512" s="156">
        <f>SUBTOTAL(109,Table2[Course Length (Days)])</f>
        <v>1522.1</v>
      </c>
      <c r="V512" s="156"/>
      <c r="W512" s="156">
        <f>SUBTOTAL(109,Table2[Registered])</f>
        <v>0</v>
      </c>
      <c r="X512" s="156">
        <f>SUBTOTAL(109,Table2[Waitlisted])</f>
        <v>0</v>
      </c>
      <c r="Y512" s="156">
        <f>SUBTOTAL(109,Table2[Graduates])</f>
        <v>0</v>
      </c>
      <c r="Z512" s="156">
        <f>SUBTOTAL(109,Table2[Fail])</f>
        <v>0</v>
      </c>
      <c r="AA512" s="156">
        <f>SUBTOTAL(109,Table2[No Shows])</f>
        <v>0</v>
      </c>
      <c r="AB512" s="156">
        <f>SUBTOTAL(109,Table2[Walk-ins])</f>
        <v>0</v>
      </c>
      <c r="AC512" s="156">
        <f>SUBTOTAL(109,Table2[Foreign Grads])</f>
        <v>0</v>
      </c>
      <c r="AD512" s="156"/>
      <c r="AE512" s="2"/>
      <c r="AF512" s="156"/>
      <c r="AG512" s="156"/>
      <c r="AH512" s="156"/>
      <c r="AI512" s="156"/>
      <c r="AJ512" s="156"/>
      <c r="AK512" s="156"/>
      <c r="AL512" s="156"/>
      <c r="AM512" s="402"/>
    </row>
    <row r="514" spans="1:1" x14ac:dyDescent="0.25">
      <c r="A514" s="9"/>
    </row>
  </sheetData>
  <sheetProtection algorithmName="SHA-512" hashValue="O8Lc+NzFm+XziDYZh7gC23rBq7vCLKsNxDB0GIN28GvR//tsc+zNVEuI10qD+AHlUj9J9Lh/LCuspssP1O2Yrw==" saltValue="fY85DSgvms/WzUSZ7VggLw==" spinCount="100000" sheet="1" objects="1" scenarios="1" formatCells="0" formatColumns="0" formatRows="0" sort="0" autoFilter="0" pivotTables="0"/>
  <protectedRanges>
    <protectedRange algorithmName="SHA-512" hashValue="n6K25g9uzAcpntxjqTQaPVdKX1eij75CLB1gBuUNBybVL5B3VaxVW/Tcen54TXijIel0fCN9KO3xZiLZCJMSZw==" saltValue="89UdTK4UUElaUoKBccfOYw==" spinCount="100000" sqref="C3:D3" name="CIN CDP"/>
    <protectedRange algorithmName="SHA-512" hashValue="n6K25g9uzAcpntxjqTQaPVdKX1eij75CLB1gBuUNBybVL5B3VaxVW/Tcen54TXijIel0fCN9KO3xZiLZCJMSZw==" saltValue="89UdTK4UUElaUoKBccfOYw==" spinCount="100000" sqref="C4:D4 C5:C38 D5:D511" name="CIN CDP_1_1"/>
  </protectedRanges>
  <phoneticPr fontId="3" type="noConversion"/>
  <conditionalFormatting sqref="A362:A363">
    <cfRule type="expression" dxfId="914" priority="61">
      <formula>$Z362="Benzick, Sue"</formula>
    </cfRule>
    <cfRule type="expression" dxfId="913" priority="63">
      <formula>$Z362="McQueen, Jennifer"</formula>
    </cfRule>
    <cfRule type="expression" dxfId="912" priority="62">
      <formula>$Z362="Jenne, Richard"</formula>
    </cfRule>
  </conditionalFormatting>
  <conditionalFormatting sqref="A366:A392">
    <cfRule type="expression" dxfId="911" priority="66">
      <formula>$Z366="McQueen, Jennifer"</formula>
    </cfRule>
    <cfRule type="expression" dxfId="910" priority="65">
      <formula>$Z366="Jenne, Richard"</formula>
    </cfRule>
    <cfRule type="expression" dxfId="909" priority="64">
      <formula>$Z366="Benzick, Sue"</formula>
    </cfRule>
  </conditionalFormatting>
  <conditionalFormatting sqref="B28:B31">
    <cfRule type="expression" dxfId="908" priority="1461">
      <formula>$AA28="McQueen, Jennifer"</formula>
    </cfRule>
    <cfRule type="expression" dxfId="907" priority="1460">
      <formula>$AA28="Jenne, Richard"</formula>
    </cfRule>
    <cfRule type="expression" dxfId="906" priority="1459">
      <formula>$AA28="Benzick, Sue"</formula>
    </cfRule>
  </conditionalFormatting>
  <conditionalFormatting sqref="E362:E363">
    <cfRule type="expression" dxfId="905" priority="59">
      <formula>$Y362="Jenne, Richard"</formula>
    </cfRule>
    <cfRule type="expression" dxfId="904" priority="58">
      <formula>$Y362="Benzick, Sue"</formula>
    </cfRule>
    <cfRule type="expression" dxfId="903" priority="60">
      <formula>$Y362="McQueen, Jennifer"</formula>
    </cfRule>
  </conditionalFormatting>
  <conditionalFormatting sqref="E385">
    <cfRule type="expression" dxfId="902" priority="40">
      <formula>$Z385="Benzick, Sue"</formula>
    </cfRule>
    <cfRule type="expression" dxfId="901" priority="41">
      <formula>$Z385="Jenne, Richard"</formula>
    </cfRule>
    <cfRule type="expression" dxfId="900" priority="42">
      <formula>$Z385="McQueen, Jennifer"</formula>
    </cfRule>
  </conditionalFormatting>
  <conditionalFormatting sqref="F24">
    <cfRule type="expression" dxfId="899" priority="1457">
      <formula>#REF!="Jenne, Richard"</formula>
    </cfRule>
    <cfRule type="expression" dxfId="898" priority="1458">
      <formula>#REF!="McQueen, Jennifer"</formula>
    </cfRule>
    <cfRule type="expression" dxfId="897" priority="1456">
      <formula>#REF!="Benzick, Sue"</formula>
    </cfRule>
  </conditionalFormatting>
  <conditionalFormatting sqref="F4:G4 E4:E9 Y4:Z9 Z10:Z37 M127:O127 M136:O136 M143:O144 M146:O146 M151:O151 M158:O159 M162:O162 M168:O168 M179:O179 M181:O181 M184:O184 M189:O189 M191:O191 M199:O206 M209:O210 M214:O214 M217:O218 M222:O222 M226:O226 M235:O236 M239:O239 M244:O244 M246:O247 M249:O249 M252:O253 M258:O258 K261 M261:O261 M273:O273 M275:O275 M283:O283 M287:O287 M291:O291 M294:O294 M296:O296 M299:O300 M307:O307 M314:O314 M316:O316 M329:O329 M331:O332 M361:O361">
    <cfRule type="expression" dxfId="896" priority="2132">
      <formula>$Y4="Jenne, Richard"</formula>
    </cfRule>
    <cfRule type="expression" dxfId="895" priority="2131">
      <formula>$Y4="Benzick, Sue"</formula>
    </cfRule>
  </conditionalFormatting>
  <conditionalFormatting sqref="F19:G23">
    <cfRule type="expression" dxfId="894" priority="1321">
      <formula>#REF!="Benzick, Sue"</formula>
    </cfRule>
    <cfRule type="expression" dxfId="893" priority="1322">
      <formula>#REF!="Jenne, Richard"</formula>
    </cfRule>
    <cfRule type="expression" dxfId="892" priority="1323">
      <formula>#REF!="McQueen, Jennifer"</formula>
    </cfRule>
  </conditionalFormatting>
  <conditionalFormatting sqref="F28:G28">
    <cfRule type="expression" dxfId="891" priority="1449">
      <formula>#REF!="McQueen, Jennifer"</formula>
    </cfRule>
    <cfRule type="expression" dxfId="890" priority="1448">
      <formula>#REF!="Jenne, Richard"</formula>
    </cfRule>
    <cfRule type="expression" dxfId="889" priority="1447">
      <formula>#REF!="Benzick, Sue"</formula>
    </cfRule>
  </conditionalFormatting>
  <conditionalFormatting sqref="F30:G30">
    <cfRule type="expression" dxfId="888" priority="1318">
      <formula>#REF!="Benzick, Sue"</formula>
    </cfRule>
    <cfRule type="expression" dxfId="887" priority="1319">
      <formula>#REF!="Jenne, Richard"</formula>
    </cfRule>
    <cfRule type="expression" dxfId="886" priority="1320">
      <formula>#REF!="McQueen, Jennifer"</formula>
    </cfRule>
  </conditionalFormatting>
  <conditionalFormatting sqref="F38:G39 F40 F41:G42">
    <cfRule type="expression" dxfId="885" priority="1440">
      <formula>#REF!="McQueen, Jennifer"</formula>
    </cfRule>
    <cfRule type="expression" dxfId="884" priority="1439">
      <formula>#REF!="Jenne, Richard"</formula>
    </cfRule>
    <cfRule type="expression" dxfId="883" priority="1438">
      <formula>#REF!="Benzick, Sue"</formula>
    </cfRule>
  </conditionalFormatting>
  <conditionalFormatting sqref="F51:G51">
    <cfRule type="expression" dxfId="882" priority="1328">
      <formula>#REF!="Jenne, Richard"</formula>
    </cfRule>
    <cfRule type="expression" dxfId="881" priority="1329">
      <formula>#REF!="McQueen, Jennifer"</formula>
    </cfRule>
    <cfRule type="expression" dxfId="880" priority="1327">
      <formula>#REF!="Benzick, Sue"</formula>
    </cfRule>
  </conditionalFormatting>
  <conditionalFormatting sqref="F362:G363 J362:J366">
    <cfRule type="expression" dxfId="879" priority="55">
      <formula>#REF!="Benzick, Sue"</formula>
    </cfRule>
    <cfRule type="expression" dxfId="878" priority="56">
      <formula>#REF!="Jenne, Richard"</formula>
    </cfRule>
    <cfRule type="expression" dxfId="877" priority="57">
      <formula>#REF!="McQueen, Jennifer"</formula>
    </cfRule>
  </conditionalFormatting>
  <conditionalFormatting sqref="G31:G33">
    <cfRule type="expression" dxfId="876" priority="1441">
      <formula>#REF!="Benzick, Sue"</formula>
    </cfRule>
    <cfRule type="expression" dxfId="875" priority="1442">
      <formula>#REF!="Jenne, Richard"</formula>
    </cfRule>
    <cfRule type="expression" dxfId="874" priority="1443">
      <formula>#REF!="McQueen, Jennifer"</formula>
    </cfRule>
  </conditionalFormatting>
  <conditionalFormatting sqref="G44 G46">
    <cfRule type="expression" dxfId="873" priority="1436">
      <formula>#REF!="Jenne, Richard"</formula>
    </cfRule>
    <cfRule type="expression" dxfId="872" priority="1437">
      <formula>#REF!="McQueen, Jennifer"</formula>
    </cfRule>
    <cfRule type="expression" dxfId="871" priority="1435">
      <formula>#REF!="Benzick, Sue"</formula>
    </cfRule>
  </conditionalFormatting>
  <conditionalFormatting sqref="G50 G52">
    <cfRule type="expression" dxfId="870" priority="1434">
      <formula>#REF!="McQueen, Jennifer"</formula>
    </cfRule>
    <cfRule type="expression" dxfId="869" priority="1432">
      <formula>#REF!="Benzick, Sue"</formula>
    </cfRule>
    <cfRule type="expression" dxfId="868" priority="1433">
      <formula>#REF!="Jenne, Richard"</formula>
    </cfRule>
  </conditionalFormatting>
  <conditionalFormatting sqref="G68">
    <cfRule type="expression" dxfId="867" priority="1317">
      <formula>#REF!="McQueen, Jennifer"</formula>
    </cfRule>
    <cfRule type="expression" dxfId="866" priority="1316">
      <formula>#REF!="Jenne, Richard"</formula>
    </cfRule>
    <cfRule type="expression" dxfId="865" priority="1315">
      <formula>#REF!="Benzick, Sue"</formula>
    </cfRule>
  </conditionalFormatting>
  <conditionalFormatting sqref="H4:H511">
    <cfRule type="containsText" dxfId="864" priority="2" operator="containsText" text="Funded">
      <formula>NOT(ISERROR(SEARCH("Funded",H4)))</formula>
    </cfRule>
    <cfRule type="containsText" dxfId="863" priority="1" operator="containsText" text="Unfunded">
      <formula>NOT(ISERROR(SEARCH("Unfunded",H4)))</formula>
    </cfRule>
  </conditionalFormatting>
  <conditionalFormatting sqref="I4">
    <cfRule type="expression" dxfId="862" priority="1950">
      <formula>#REF!="McQueen, Jennifer"</formula>
    </cfRule>
    <cfRule type="expression" dxfId="861" priority="1949">
      <formula>#REF!="Jenne, Richard"</formula>
    </cfRule>
    <cfRule type="expression" dxfId="860" priority="1948">
      <formula>#REF!="Benzick, Sue"</formula>
    </cfRule>
  </conditionalFormatting>
  <conditionalFormatting sqref="I7:I17 I19">
    <cfRule type="expression" dxfId="859" priority="1938">
      <formula>#REF!="McQueen, Jennifer"</formula>
    </cfRule>
    <cfRule type="expression" dxfId="858" priority="1937">
      <formula>#REF!="Jenne, Richard"</formula>
    </cfRule>
    <cfRule type="expression" dxfId="857" priority="1936">
      <formula>#REF!="Benzick, Sue"</formula>
    </cfRule>
  </conditionalFormatting>
  <conditionalFormatting sqref="I21:I36">
    <cfRule type="expression" dxfId="856" priority="1383">
      <formula>#REF!="McQueen, Jennifer"</formula>
    </cfRule>
    <cfRule type="expression" dxfId="855" priority="1382">
      <formula>#REF!="Jenne, Richard"</formula>
    </cfRule>
    <cfRule type="expression" dxfId="854" priority="1381">
      <formula>#REF!="Benzick, Sue"</formula>
    </cfRule>
  </conditionalFormatting>
  <conditionalFormatting sqref="I38">
    <cfRule type="expression" dxfId="853" priority="1385">
      <formula>#REF!="Jenne, Richard"</formula>
    </cfRule>
    <cfRule type="expression" dxfId="852" priority="1386">
      <formula>#REF!="McQueen, Jennifer"</formula>
    </cfRule>
    <cfRule type="expression" dxfId="851" priority="1384">
      <formula>#REF!="Benzick, Sue"</formula>
    </cfRule>
  </conditionalFormatting>
  <conditionalFormatting sqref="I39">
    <cfRule type="expression" dxfId="850" priority="1424">
      <formula>$V39="Jenne, Richard"</formula>
    </cfRule>
    <cfRule type="expression" dxfId="849" priority="1423">
      <formula>$V39="Benzick, Sue"</formula>
    </cfRule>
    <cfRule type="expression" dxfId="848" priority="1425">
      <formula>$V39="McQueen, Jennifer"</formula>
    </cfRule>
  </conditionalFormatting>
  <conditionalFormatting sqref="I40:I42">
    <cfRule type="expression" dxfId="847" priority="1388">
      <formula>#REF!="Jenne, Richard"</formula>
    </cfRule>
    <cfRule type="expression" dxfId="846" priority="1389">
      <formula>#REF!="McQueen, Jennifer"</formula>
    </cfRule>
    <cfRule type="expression" dxfId="845" priority="1387">
      <formula>#REF!="Benzick, Sue"</formula>
    </cfRule>
  </conditionalFormatting>
  <conditionalFormatting sqref="I44:I48">
    <cfRule type="expression" dxfId="844" priority="1390">
      <formula>#REF!="Benzick, Sue"</formula>
    </cfRule>
    <cfRule type="expression" dxfId="843" priority="1391">
      <formula>#REF!="Jenne, Richard"</formula>
    </cfRule>
    <cfRule type="expression" dxfId="842" priority="1392">
      <formula>#REF!="McQueen, Jennifer"</formula>
    </cfRule>
  </conditionalFormatting>
  <conditionalFormatting sqref="I50:I54">
    <cfRule type="expression" dxfId="841" priority="1396">
      <formula>#REF!="Benzick, Sue"</formula>
    </cfRule>
    <cfRule type="expression" dxfId="840" priority="1397">
      <formula>#REF!="Jenne, Richard"</formula>
    </cfRule>
    <cfRule type="expression" dxfId="839" priority="1398">
      <formula>#REF!="McQueen, Jennifer"</formula>
    </cfRule>
  </conditionalFormatting>
  <conditionalFormatting sqref="I56:I60">
    <cfRule type="expression" dxfId="838" priority="1402">
      <formula>#REF!="Benzick, Sue"</formula>
    </cfRule>
    <cfRule type="expression" dxfId="837" priority="1403">
      <formula>#REF!="Jenne, Richard"</formula>
    </cfRule>
    <cfRule type="expression" dxfId="836" priority="1404">
      <formula>#REF!="McQueen, Jennifer"</formula>
    </cfRule>
  </conditionalFormatting>
  <conditionalFormatting sqref="I65:I70">
    <cfRule type="expression" dxfId="835" priority="1405">
      <formula>#REF!="Benzick, Sue"</formula>
    </cfRule>
    <cfRule type="expression" dxfId="834" priority="1406">
      <formula>#REF!="Jenne, Richard"</formula>
    </cfRule>
    <cfRule type="expression" dxfId="833" priority="1407">
      <formula>#REF!="McQueen, Jennifer"</formula>
    </cfRule>
  </conditionalFormatting>
  <conditionalFormatting sqref="I129">
    <cfRule type="expression" dxfId="832" priority="1368">
      <formula>#REF!="McQueen, Jennifer"</formula>
    </cfRule>
    <cfRule type="expression" dxfId="831" priority="1367">
      <formula>#REF!="Jenne, Richard"</formula>
    </cfRule>
    <cfRule type="expression" dxfId="830" priority="1366">
      <formula>#REF!="Benzick, Sue"</formula>
    </cfRule>
  </conditionalFormatting>
  <conditionalFormatting sqref="I153">
    <cfRule type="expression" dxfId="829" priority="1324">
      <formula>#REF!="Benzick, Sue"</formula>
    </cfRule>
    <cfRule type="expression" dxfId="828" priority="1325">
      <formula>#REF!="Jenne, Richard"</formula>
    </cfRule>
    <cfRule type="expression" dxfId="827" priority="1326">
      <formula>#REF!="McQueen, Jennifer"</formula>
    </cfRule>
  </conditionalFormatting>
  <conditionalFormatting sqref="I184">
    <cfRule type="expression" dxfId="826" priority="1365">
      <formula>#REF!="McQueen, Jennifer"</formula>
    </cfRule>
    <cfRule type="expression" dxfId="825" priority="1363">
      <formula>#REF!="Benzick, Sue"</formula>
    </cfRule>
    <cfRule type="expression" dxfId="824" priority="1364">
      <formula>#REF!="Jenne, Richard"</formula>
    </cfRule>
  </conditionalFormatting>
  <conditionalFormatting sqref="I199:I203">
    <cfRule type="expression" dxfId="823" priority="1411">
      <formula>#REF!="Benzick, Sue"</formula>
    </cfRule>
    <cfRule type="expression" dxfId="822" priority="1412">
      <formula>#REF!="Jenne, Richard"</formula>
    </cfRule>
    <cfRule type="expression" dxfId="821" priority="1413">
      <formula>#REF!="McQueen, Jennifer"</formula>
    </cfRule>
  </conditionalFormatting>
  <conditionalFormatting sqref="I290">
    <cfRule type="expression" dxfId="820" priority="1360">
      <formula>#REF!="Benzick, Sue"</formula>
    </cfRule>
    <cfRule type="expression" dxfId="819" priority="1361">
      <formula>#REF!="Jenne, Richard"</formula>
    </cfRule>
    <cfRule type="expression" dxfId="818" priority="1362">
      <formula>#REF!="McQueen, Jennifer"</formula>
    </cfRule>
  </conditionalFormatting>
  <conditionalFormatting sqref="I366:I393 J369:J393">
    <cfRule type="expression" dxfId="817" priority="38">
      <formula>#REF!="Jenne, Richard"</formula>
    </cfRule>
    <cfRule type="expression" dxfId="816" priority="39">
      <formula>#REF!="McQueen, Jennifer"</formula>
    </cfRule>
    <cfRule type="expression" dxfId="815" priority="37">
      <formula>#REF!="Benzick, Sue"</formula>
    </cfRule>
  </conditionalFormatting>
  <conditionalFormatting sqref="I450">
    <cfRule type="expression" dxfId="814" priority="34">
      <formula>#REF!="Benzick, Sue"</formula>
    </cfRule>
    <cfRule type="expression" dxfId="813" priority="36">
      <formula>#REF!="McQueen, Jennifer"</formula>
    </cfRule>
    <cfRule type="expression" dxfId="812" priority="35">
      <formula>#REF!="Jenne, Richard"</formula>
    </cfRule>
  </conditionalFormatting>
  <conditionalFormatting sqref="I467">
    <cfRule type="expression" dxfId="811" priority="30">
      <formula>#REF!="McQueen, Jennifer"</formula>
    </cfRule>
    <cfRule type="expression" dxfId="810" priority="29">
      <formula>#REF!="Jenne, Richard"</formula>
    </cfRule>
    <cfRule type="expression" dxfId="809" priority="28">
      <formula>#REF!="Benzick, Sue"</formula>
    </cfRule>
  </conditionalFormatting>
  <conditionalFormatting sqref="I472">
    <cfRule type="expression" dxfId="808" priority="27">
      <formula>#REF!="McQueen, Jennifer"</formula>
    </cfRule>
    <cfRule type="expression" dxfId="807" priority="26">
      <formula>#REF!="Jenne, Richard"</formula>
    </cfRule>
    <cfRule type="expression" dxfId="806" priority="25">
      <formula>#REF!="Benzick, Sue"</formula>
    </cfRule>
  </conditionalFormatting>
  <conditionalFormatting sqref="I486">
    <cfRule type="expression" dxfId="805" priority="24">
      <formula>#REF!="McQueen, Jennifer"</formula>
    </cfRule>
    <cfRule type="expression" dxfId="804" priority="23">
      <formula>#REF!="Jenne, Richard"</formula>
    </cfRule>
    <cfRule type="expression" dxfId="803" priority="22">
      <formula>#REF!="Benzick, Sue"</formula>
    </cfRule>
  </conditionalFormatting>
  <conditionalFormatting sqref="I490">
    <cfRule type="expression" dxfId="802" priority="21">
      <formula>#REF!="McQueen, Jennifer"</formula>
    </cfRule>
    <cfRule type="expression" dxfId="801" priority="20">
      <formula>#REF!="Jenne, Richard"</formula>
    </cfRule>
    <cfRule type="expression" dxfId="800" priority="19">
      <formula>#REF!="Benzick, Sue"</formula>
    </cfRule>
  </conditionalFormatting>
  <conditionalFormatting sqref="I494">
    <cfRule type="expression" dxfId="799" priority="18">
      <formula>#REF!="McQueen, Jennifer"</formula>
    </cfRule>
    <cfRule type="expression" dxfId="798" priority="17">
      <formula>#REF!="Jenne, Richard"</formula>
    </cfRule>
    <cfRule type="expression" dxfId="797" priority="16">
      <formula>#REF!="Benzick, Sue"</formula>
    </cfRule>
  </conditionalFormatting>
  <conditionalFormatting sqref="J9:J10 J12:J14 J16:J22 J26 J28 J30 J33">
    <cfRule type="expression" dxfId="796" priority="1376">
      <formula>#REF!="Jenne, Richard"</formula>
    </cfRule>
    <cfRule type="expression" dxfId="795" priority="1375">
      <formula>#REF!="Benzick, Sue"</formula>
    </cfRule>
    <cfRule type="expression" dxfId="794" priority="1377">
      <formula>#REF!="McQueen, Jennifer"</formula>
    </cfRule>
  </conditionalFormatting>
  <conditionalFormatting sqref="J35:J41">
    <cfRule type="expression" dxfId="793" priority="978">
      <formula>#REF!="McQueen, Jennifer"</formula>
    </cfRule>
    <cfRule type="expression" dxfId="792" priority="977">
      <formula>#REF!="Jenne, Richard"</formula>
    </cfRule>
    <cfRule type="expression" dxfId="791" priority="976">
      <formula>#REF!="Benzick, Sue"</formula>
    </cfRule>
  </conditionalFormatting>
  <conditionalFormatting sqref="J43:J44">
    <cfRule type="expression" dxfId="790" priority="1143">
      <formula>#REF!="McQueen, Jennifer"</formula>
    </cfRule>
    <cfRule type="expression" dxfId="789" priority="1142">
      <formula>#REF!="Jenne, Richard"</formula>
    </cfRule>
    <cfRule type="expression" dxfId="788" priority="1141">
      <formula>#REF!="Benzick, Sue"</formula>
    </cfRule>
  </conditionalFormatting>
  <conditionalFormatting sqref="J46:J57">
    <cfRule type="expression" dxfId="787" priority="940">
      <formula>#REF!="Benzick, Sue"</formula>
    </cfRule>
    <cfRule type="expression" dxfId="786" priority="942">
      <formula>#REF!="McQueen, Jennifer"</formula>
    </cfRule>
    <cfRule type="expression" dxfId="785" priority="941">
      <formula>#REF!="Jenne, Richard"</formula>
    </cfRule>
  </conditionalFormatting>
  <conditionalFormatting sqref="J60:J62">
    <cfRule type="expression" dxfId="784" priority="931">
      <formula>#REF!="Benzick, Sue"</formula>
    </cfRule>
    <cfRule type="expression" dxfId="783" priority="933">
      <formula>#REF!="McQueen, Jennifer"</formula>
    </cfRule>
    <cfRule type="expression" dxfId="782" priority="932">
      <formula>#REF!="Jenne, Richard"</formula>
    </cfRule>
  </conditionalFormatting>
  <conditionalFormatting sqref="J65:J67">
    <cfRule type="expression" dxfId="781" priority="924">
      <formula>#REF!="McQueen, Jennifer"</formula>
    </cfRule>
    <cfRule type="expression" dxfId="780" priority="923">
      <formula>#REF!="Jenne, Richard"</formula>
    </cfRule>
    <cfRule type="expression" dxfId="779" priority="922">
      <formula>#REF!="Benzick, Sue"</formula>
    </cfRule>
  </conditionalFormatting>
  <conditionalFormatting sqref="J69:J106">
    <cfRule type="expression" dxfId="778" priority="143">
      <formula>#REF!="Jenne, Richard"</formula>
    </cfRule>
    <cfRule type="expression" dxfId="777" priority="144">
      <formula>#REF!="McQueen, Jennifer"</formula>
    </cfRule>
    <cfRule type="expression" dxfId="776" priority="142">
      <formula>#REF!="Benzick, Sue"</formula>
    </cfRule>
  </conditionalFormatting>
  <conditionalFormatting sqref="J109">
    <cfRule type="expression" dxfId="775" priority="1034">
      <formula>#REF!="Jenne, Richard"</formula>
    </cfRule>
    <cfRule type="expression" dxfId="774" priority="1033">
      <formula>#REF!="Benzick, Sue"</formula>
    </cfRule>
    <cfRule type="expression" dxfId="773" priority="1035">
      <formula>#REF!="McQueen, Jennifer"</formula>
    </cfRule>
  </conditionalFormatting>
  <conditionalFormatting sqref="J111:J112">
    <cfRule type="expression" dxfId="772" priority="136">
      <formula>#REF!="Benzick, Sue"</formula>
    </cfRule>
    <cfRule type="expression" dxfId="771" priority="137">
      <formula>#REF!="Jenne, Richard"</formula>
    </cfRule>
    <cfRule type="expression" dxfId="770" priority="138">
      <formula>#REF!="McQueen, Jennifer"</formula>
    </cfRule>
  </conditionalFormatting>
  <conditionalFormatting sqref="J114:J118">
    <cfRule type="expression" dxfId="769" priority="825">
      <formula>#REF!="McQueen, Jennifer"</formula>
    </cfRule>
    <cfRule type="expression" dxfId="768" priority="824">
      <formula>#REF!="Jenne, Richard"</formula>
    </cfRule>
    <cfRule type="expression" dxfId="767" priority="823">
      <formula>#REF!="Benzick, Sue"</formula>
    </cfRule>
  </conditionalFormatting>
  <conditionalFormatting sqref="J120:J121">
    <cfRule type="expression" dxfId="766" priority="816">
      <formula>#REF!="McQueen, Jennifer"</formula>
    </cfRule>
    <cfRule type="expression" dxfId="765" priority="815">
      <formula>#REF!="Jenne, Richard"</formula>
    </cfRule>
    <cfRule type="expression" dxfId="764" priority="814">
      <formula>#REF!="Benzick, Sue"</formula>
    </cfRule>
  </conditionalFormatting>
  <conditionalFormatting sqref="J123:J132">
    <cfRule type="expression" dxfId="763" priority="805">
      <formula>#REF!="Benzick, Sue"</formula>
    </cfRule>
    <cfRule type="expression" dxfId="762" priority="806">
      <formula>#REF!="Jenne, Richard"</formula>
    </cfRule>
    <cfRule type="expression" dxfId="761" priority="807">
      <formula>#REF!="McQueen, Jennifer"</formula>
    </cfRule>
  </conditionalFormatting>
  <conditionalFormatting sqref="J134:J143">
    <cfRule type="expression" dxfId="760" priority="127">
      <formula>#REF!="Benzick, Sue"</formula>
    </cfRule>
    <cfRule type="expression" dxfId="759" priority="128">
      <formula>#REF!="Jenne, Richard"</formula>
    </cfRule>
    <cfRule type="expression" dxfId="758" priority="129">
      <formula>#REF!="McQueen, Jennifer"</formula>
    </cfRule>
  </conditionalFormatting>
  <conditionalFormatting sqref="J145:J162">
    <cfRule type="expression" dxfId="757" priority="787">
      <formula>#REF!="Benzick, Sue"</formula>
    </cfRule>
    <cfRule type="expression" dxfId="756" priority="788">
      <formula>#REF!="Jenne, Richard"</formula>
    </cfRule>
    <cfRule type="expression" dxfId="755" priority="789">
      <formula>#REF!="McQueen, Jennifer"</formula>
    </cfRule>
  </conditionalFormatting>
  <conditionalFormatting sqref="J164:J180">
    <cfRule type="expression" dxfId="754" priority="126">
      <formula>#REF!="McQueen, Jennifer"</formula>
    </cfRule>
    <cfRule type="expression" dxfId="753" priority="124">
      <formula>#REF!="Benzick, Sue"</formula>
    </cfRule>
    <cfRule type="expression" dxfId="752" priority="125">
      <formula>#REF!="Jenne, Richard"</formula>
    </cfRule>
  </conditionalFormatting>
  <conditionalFormatting sqref="J182:J183">
    <cfRule type="expression" dxfId="751" priority="757">
      <formula>#REF!="Benzick, Sue"</formula>
    </cfRule>
    <cfRule type="expression" dxfId="750" priority="759">
      <formula>#REF!="McQueen, Jennifer"</formula>
    </cfRule>
    <cfRule type="expression" dxfId="749" priority="758">
      <formula>#REF!="Jenne, Richard"</formula>
    </cfRule>
  </conditionalFormatting>
  <conditionalFormatting sqref="J185:J198">
    <cfRule type="expression" dxfId="748" priority="745">
      <formula>#REF!="Benzick, Sue"</formula>
    </cfRule>
    <cfRule type="expression" dxfId="747" priority="746">
      <formula>#REF!="Jenne, Richard"</formula>
    </cfRule>
    <cfRule type="expression" dxfId="746" priority="747">
      <formula>#REF!="McQueen, Jennifer"</formula>
    </cfRule>
  </conditionalFormatting>
  <conditionalFormatting sqref="J208">
    <cfRule type="expression" dxfId="745" priority="741">
      <formula>#REF!="McQueen, Jennifer"</formula>
    </cfRule>
    <cfRule type="expression" dxfId="744" priority="739">
      <formula>#REF!="Benzick, Sue"</formula>
    </cfRule>
    <cfRule type="expression" dxfId="743" priority="740">
      <formula>#REF!="Jenne, Richard"</formula>
    </cfRule>
  </conditionalFormatting>
  <conditionalFormatting sqref="J216">
    <cfRule type="expression" dxfId="742" priority="735">
      <formula>#REF!="McQueen, Jennifer"</formula>
    </cfRule>
    <cfRule type="expression" dxfId="741" priority="734">
      <formula>#REF!="Jenne, Richard"</formula>
    </cfRule>
    <cfRule type="expression" dxfId="740" priority="733">
      <formula>#REF!="Benzick, Sue"</formula>
    </cfRule>
  </conditionalFormatting>
  <conditionalFormatting sqref="J224">
    <cfRule type="expression" dxfId="739" priority="108">
      <formula>#REF!="McQueen, Jennifer"</formula>
    </cfRule>
    <cfRule type="expression" dxfId="738" priority="107">
      <formula>#REF!="Jenne, Richard"</formula>
    </cfRule>
    <cfRule type="expression" dxfId="737" priority="106">
      <formula>#REF!="Benzick, Sue"</formula>
    </cfRule>
  </conditionalFormatting>
  <conditionalFormatting sqref="J228">
    <cfRule type="expression" dxfId="736" priority="1252">
      <formula>#REF!="Benzick, Sue"</formula>
    </cfRule>
    <cfRule type="expression" dxfId="735" priority="1253">
      <formula>#REF!="Jenne, Richard"</formula>
    </cfRule>
    <cfRule type="expression" dxfId="734" priority="1254">
      <formula>#REF!="McQueen, Jennifer"</formula>
    </cfRule>
  </conditionalFormatting>
  <conditionalFormatting sqref="J231:J232">
    <cfRule type="expression" dxfId="733" priority="723">
      <formula>#REF!="McQueen, Jennifer"</formula>
    </cfRule>
    <cfRule type="expression" dxfId="732" priority="722">
      <formula>#REF!="Jenne, Richard"</formula>
    </cfRule>
    <cfRule type="expression" dxfId="731" priority="721">
      <formula>#REF!="Benzick, Sue"</formula>
    </cfRule>
  </conditionalFormatting>
  <conditionalFormatting sqref="J234">
    <cfRule type="expression" dxfId="730" priority="717">
      <formula>#REF!="McQueen, Jennifer"</formula>
    </cfRule>
    <cfRule type="expression" dxfId="729" priority="716">
      <formula>#REF!="Jenne, Richard"</formula>
    </cfRule>
    <cfRule type="expression" dxfId="728" priority="715">
      <formula>#REF!="Benzick, Sue"</formula>
    </cfRule>
  </conditionalFormatting>
  <conditionalFormatting sqref="J238">
    <cfRule type="expression" dxfId="727" priority="120">
      <formula>#REF!="McQueen, Jennifer"</formula>
    </cfRule>
    <cfRule type="expression" dxfId="726" priority="119">
      <formula>#REF!="Jenne, Richard"</formula>
    </cfRule>
    <cfRule type="expression" dxfId="725" priority="118">
      <formula>#REF!="Benzick, Sue"</formula>
    </cfRule>
  </conditionalFormatting>
  <conditionalFormatting sqref="J240:J241">
    <cfRule type="expression" dxfId="724" priority="705">
      <formula>#REF!="McQueen, Jennifer"</formula>
    </cfRule>
    <cfRule type="expression" dxfId="723" priority="704">
      <formula>#REF!="Jenne, Richard"</formula>
    </cfRule>
    <cfRule type="expression" dxfId="722" priority="703">
      <formula>#REF!="Benzick, Sue"</formula>
    </cfRule>
  </conditionalFormatting>
  <conditionalFormatting sqref="J245">
    <cfRule type="expression" dxfId="721" priority="699">
      <formula>#REF!="McQueen, Jennifer"</formula>
    </cfRule>
    <cfRule type="expression" dxfId="720" priority="698">
      <formula>#REF!="Jenne, Richard"</formula>
    </cfRule>
    <cfRule type="expression" dxfId="719" priority="697">
      <formula>#REF!="Benzick, Sue"</formula>
    </cfRule>
  </conditionalFormatting>
  <conditionalFormatting sqref="J249">
    <cfRule type="expression" dxfId="718" priority="1337">
      <formula>#REF!="Jenne, Richard"</formula>
    </cfRule>
    <cfRule type="expression" dxfId="717" priority="1336">
      <formula>#REF!="Benzick, Sue"</formula>
    </cfRule>
    <cfRule type="expression" dxfId="716" priority="1338">
      <formula>#REF!="McQueen, Jennifer"</formula>
    </cfRule>
  </conditionalFormatting>
  <conditionalFormatting sqref="J251">
    <cfRule type="expression" dxfId="715" priority="687">
      <formula>#REF!="McQueen, Jennifer"</formula>
    </cfRule>
    <cfRule type="expression" dxfId="714" priority="686">
      <formula>#REF!="Jenne, Richard"</formula>
    </cfRule>
    <cfRule type="expression" dxfId="713" priority="685">
      <formula>#REF!="Benzick, Sue"</formula>
    </cfRule>
  </conditionalFormatting>
  <conditionalFormatting sqref="J262">
    <cfRule type="expression" dxfId="712" priority="681">
      <formula>#REF!="McQueen, Jennifer"</formula>
    </cfRule>
    <cfRule type="expression" dxfId="711" priority="679">
      <formula>#REF!="Benzick, Sue"</formula>
    </cfRule>
    <cfRule type="expression" dxfId="710" priority="680">
      <formula>#REF!="Jenne, Richard"</formula>
    </cfRule>
  </conditionalFormatting>
  <conditionalFormatting sqref="J264">
    <cfRule type="expression" dxfId="709" priority="673">
      <formula>#REF!="Benzick, Sue"</formula>
    </cfRule>
    <cfRule type="expression" dxfId="708" priority="674">
      <formula>#REF!="Jenne, Richard"</formula>
    </cfRule>
    <cfRule type="expression" dxfId="707" priority="675">
      <formula>#REF!="McQueen, Jennifer"</formula>
    </cfRule>
  </conditionalFormatting>
  <conditionalFormatting sqref="J270:J271">
    <cfRule type="expression" dxfId="706" priority="94">
      <formula>#REF!="Benzick, Sue"</formula>
    </cfRule>
    <cfRule type="expression" dxfId="705" priority="95">
      <formula>#REF!="Jenne, Richard"</formula>
    </cfRule>
    <cfRule type="expression" dxfId="704" priority="96">
      <formula>#REF!="McQueen, Jennifer"</formula>
    </cfRule>
  </conditionalFormatting>
  <conditionalFormatting sqref="J278:J279">
    <cfRule type="expression" dxfId="703" priority="655">
      <formula>#REF!="Benzick, Sue"</formula>
    </cfRule>
    <cfRule type="expression" dxfId="702" priority="656">
      <formula>#REF!="Jenne, Richard"</formula>
    </cfRule>
    <cfRule type="expression" dxfId="701" priority="657">
      <formula>#REF!="McQueen, Jennifer"</formula>
    </cfRule>
  </conditionalFormatting>
  <conditionalFormatting sqref="J286">
    <cfRule type="expression" dxfId="700" priority="1333">
      <formula>#REF!="Benzick, Sue"</formula>
    </cfRule>
    <cfRule type="expression" dxfId="699" priority="1334">
      <formula>#REF!="Jenne, Richard"</formula>
    </cfRule>
    <cfRule type="expression" dxfId="698" priority="1335">
      <formula>#REF!="McQueen, Jennifer"</formula>
    </cfRule>
  </conditionalFormatting>
  <conditionalFormatting sqref="J297:J298">
    <cfRule type="expression" dxfId="697" priority="650">
      <formula>#REF!="Jenne, Richard"</formula>
    </cfRule>
    <cfRule type="expression" dxfId="696" priority="651">
      <formula>#REF!="McQueen, Jennifer"</formula>
    </cfRule>
    <cfRule type="expression" dxfId="695" priority="649">
      <formula>#REF!="Benzick, Sue"</formula>
    </cfRule>
  </conditionalFormatting>
  <conditionalFormatting sqref="J302">
    <cfRule type="expression" dxfId="694" priority="644">
      <formula>#REF!="Jenne, Richard"</formula>
    </cfRule>
    <cfRule type="expression" dxfId="693" priority="645">
      <formula>#REF!="McQueen, Jennifer"</formula>
    </cfRule>
    <cfRule type="expression" dxfId="692" priority="643">
      <formula>#REF!="Benzick, Sue"</formula>
    </cfRule>
  </conditionalFormatting>
  <conditionalFormatting sqref="J309">
    <cfRule type="expression" dxfId="691" priority="1330">
      <formula>#REF!="Benzick, Sue"</formula>
    </cfRule>
    <cfRule type="expression" dxfId="690" priority="1331">
      <formula>#REF!="Jenne, Richard"</formula>
    </cfRule>
    <cfRule type="expression" dxfId="689" priority="1332">
      <formula>#REF!="McQueen, Jennifer"</formula>
    </cfRule>
  </conditionalFormatting>
  <conditionalFormatting sqref="J313">
    <cfRule type="expression" dxfId="688" priority="637">
      <formula>#REF!="Benzick, Sue"</formula>
    </cfRule>
    <cfRule type="expression" dxfId="687" priority="638">
      <formula>#REF!="Jenne, Richard"</formula>
    </cfRule>
    <cfRule type="expression" dxfId="686" priority="639">
      <formula>#REF!="McQueen, Jennifer"</formula>
    </cfRule>
  </conditionalFormatting>
  <conditionalFormatting sqref="J320:J321">
    <cfRule type="expression" dxfId="685" priority="625">
      <formula>#REF!="Benzick, Sue"</formula>
    </cfRule>
    <cfRule type="expression" dxfId="684" priority="626">
      <formula>#REF!="Jenne, Richard"</formula>
    </cfRule>
    <cfRule type="expression" dxfId="683" priority="627">
      <formula>#REF!="McQueen, Jennifer"</formula>
    </cfRule>
  </conditionalFormatting>
  <conditionalFormatting sqref="J325">
    <cfRule type="expression" dxfId="682" priority="621">
      <formula>#REF!="McQueen, Jennifer"</formula>
    </cfRule>
    <cfRule type="expression" dxfId="681" priority="620">
      <formula>#REF!="Jenne, Richard"</formula>
    </cfRule>
    <cfRule type="expression" dxfId="680" priority="619">
      <formula>#REF!="Benzick, Sue"</formula>
    </cfRule>
  </conditionalFormatting>
  <conditionalFormatting sqref="J328">
    <cfRule type="expression" dxfId="679" priority="613">
      <formula>#REF!="Benzick, Sue"</formula>
    </cfRule>
    <cfRule type="expression" dxfId="678" priority="615">
      <formula>#REF!="McQueen, Jennifer"</formula>
    </cfRule>
    <cfRule type="expression" dxfId="677" priority="614">
      <formula>#REF!="Jenne, Richard"</formula>
    </cfRule>
  </conditionalFormatting>
  <conditionalFormatting sqref="J330">
    <cfRule type="expression" dxfId="676" priority="991">
      <formula>#REF!="Benzick, Sue"</formula>
    </cfRule>
    <cfRule type="expression" dxfId="675" priority="992">
      <formula>#REF!="Jenne, Richard"</formula>
    </cfRule>
    <cfRule type="expression" dxfId="674" priority="993">
      <formula>#REF!="McQueen, Jennifer"</formula>
    </cfRule>
  </conditionalFormatting>
  <conditionalFormatting sqref="K38">
    <cfRule type="expression" dxfId="673" priority="982">
      <formula>#REF!="Benzick, Sue"</formula>
    </cfRule>
    <cfRule type="expression" dxfId="672" priority="983">
      <formula>#REF!="Jenne, Richard"</formula>
    </cfRule>
    <cfRule type="expression" dxfId="671" priority="984">
      <formula>#REF!="McQueen, Jennifer"</formula>
    </cfRule>
  </conditionalFormatting>
  <conditionalFormatting sqref="K41">
    <cfRule type="expression" dxfId="670" priority="973">
      <formula>#REF!="Benzick, Sue"</formula>
    </cfRule>
    <cfRule type="expression" dxfId="669" priority="975">
      <formula>#REF!="McQueen, Jennifer"</formula>
    </cfRule>
    <cfRule type="expression" dxfId="668" priority="974">
      <formula>#REF!="Jenne, Richard"</formula>
    </cfRule>
  </conditionalFormatting>
  <conditionalFormatting sqref="K46">
    <cfRule type="expression" dxfId="667" priority="966">
      <formula>#REF!="McQueen, Jennifer"</formula>
    </cfRule>
    <cfRule type="expression" dxfId="666" priority="965">
      <formula>#REF!="Jenne, Richard"</formula>
    </cfRule>
    <cfRule type="expression" dxfId="665" priority="964">
      <formula>#REF!="Benzick, Sue"</formula>
    </cfRule>
  </conditionalFormatting>
  <conditionalFormatting sqref="K48">
    <cfRule type="expression" dxfId="664" priority="955">
      <formula>#REF!="Benzick, Sue"</formula>
    </cfRule>
    <cfRule type="expression" dxfId="663" priority="956">
      <formula>#REF!="Jenne, Richard"</formula>
    </cfRule>
    <cfRule type="expression" dxfId="662" priority="957">
      <formula>#REF!="McQueen, Jennifer"</formula>
    </cfRule>
  </conditionalFormatting>
  <conditionalFormatting sqref="K52">
    <cfRule type="expression" dxfId="661" priority="948">
      <formula>#REF!="McQueen, Jennifer"</formula>
    </cfRule>
    <cfRule type="expression" dxfId="660" priority="946">
      <formula>#REF!="Benzick, Sue"</formula>
    </cfRule>
    <cfRule type="expression" dxfId="659" priority="947">
      <formula>#REF!="Jenne, Richard"</formula>
    </cfRule>
  </conditionalFormatting>
  <conditionalFormatting sqref="K57">
    <cfRule type="expression" dxfId="658" priority="937">
      <formula>#REF!="Benzick, Sue"</formula>
    </cfRule>
    <cfRule type="expression" dxfId="657" priority="938">
      <formula>#REF!="Jenne, Richard"</formula>
    </cfRule>
    <cfRule type="expression" dxfId="656" priority="939">
      <formula>#REF!="McQueen, Jennifer"</formula>
    </cfRule>
  </conditionalFormatting>
  <conditionalFormatting sqref="K62">
    <cfRule type="expression" dxfId="655" priority="928">
      <formula>#REF!="Benzick, Sue"</formula>
    </cfRule>
    <cfRule type="expression" dxfId="654" priority="930">
      <formula>#REF!="McQueen, Jennifer"</formula>
    </cfRule>
    <cfRule type="expression" dxfId="653" priority="929">
      <formula>#REF!="Jenne, Richard"</formula>
    </cfRule>
  </conditionalFormatting>
  <conditionalFormatting sqref="K66">
    <cfRule type="expression" dxfId="652" priority="919">
      <formula>#REF!="Benzick, Sue"</formula>
    </cfRule>
    <cfRule type="expression" dxfId="651" priority="920">
      <formula>#REF!="Jenne, Richard"</formula>
    </cfRule>
    <cfRule type="expression" dxfId="650" priority="921">
      <formula>#REF!="McQueen, Jennifer"</formula>
    </cfRule>
  </conditionalFormatting>
  <conditionalFormatting sqref="K69">
    <cfRule type="expression" dxfId="649" priority="912">
      <formula>#REF!="McQueen, Jennifer"</formula>
    </cfRule>
    <cfRule type="expression" dxfId="648" priority="911">
      <formula>#REF!="Jenne, Richard"</formula>
    </cfRule>
    <cfRule type="expression" dxfId="647" priority="910">
      <formula>#REF!="Benzick, Sue"</formula>
    </cfRule>
  </conditionalFormatting>
  <conditionalFormatting sqref="K79">
    <cfRule type="expression" dxfId="646" priority="903">
      <formula>#REF!="McQueen, Jennifer"</formula>
    </cfRule>
    <cfRule type="expression" dxfId="645" priority="902">
      <formula>#REF!="Jenne, Richard"</formula>
    </cfRule>
    <cfRule type="expression" dxfId="644" priority="901">
      <formula>#REF!="Benzick, Sue"</formula>
    </cfRule>
  </conditionalFormatting>
  <conditionalFormatting sqref="K84">
    <cfRule type="expression" dxfId="643" priority="892">
      <formula>#REF!="Benzick, Sue"</formula>
    </cfRule>
    <cfRule type="expression" dxfId="642" priority="893">
      <formula>#REF!="Jenne, Richard"</formula>
    </cfRule>
    <cfRule type="expression" dxfId="641" priority="894">
      <formula>#REF!="McQueen, Jennifer"</formula>
    </cfRule>
  </conditionalFormatting>
  <conditionalFormatting sqref="K88">
    <cfRule type="expression" dxfId="640" priority="883">
      <formula>#REF!="Benzick, Sue"</formula>
    </cfRule>
    <cfRule type="expression" dxfId="639" priority="884">
      <formula>#REF!="Jenne, Richard"</formula>
    </cfRule>
    <cfRule type="expression" dxfId="638" priority="885">
      <formula>#REF!="McQueen, Jennifer"</formula>
    </cfRule>
  </conditionalFormatting>
  <conditionalFormatting sqref="K91">
    <cfRule type="expression" dxfId="637" priority="874">
      <formula>#REF!="Benzick, Sue"</formula>
    </cfRule>
    <cfRule type="expression" dxfId="636" priority="875">
      <formula>#REF!="Jenne, Richard"</formula>
    </cfRule>
    <cfRule type="expression" dxfId="635" priority="876">
      <formula>#REF!="McQueen, Jennifer"</formula>
    </cfRule>
  </conditionalFormatting>
  <conditionalFormatting sqref="K93">
    <cfRule type="expression" dxfId="634" priority="865">
      <formula>#REF!="Benzick, Sue"</formula>
    </cfRule>
    <cfRule type="expression" dxfId="633" priority="866">
      <formula>#REF!="Jenne, Richard"</formula>
    </cfRule>
    <cfRule type="expression" dxfId="632" priority="867">
      <formula>#REF!="McQueen, Jennifer"</formula>
    </cfRule>
  </conditionalFormatting>
  <conditionalFormatting sqref="K96:K98">
    <cfRule type="expression" dxfId="631" priority="839">
      <formula>#REF!="Jenne, Richard"</formula>
    </cfRule>
    <cfRule type="expression" dxfId="630" priority="840">
      <formula>#REF!="McQueen, Jennifer"</formula>
    </cfRule>
    <cfRule type="expression" dxfId="629" priority="838">
      <formula>#REF!="Benzick, Sue"</formula>
    </cfRule>
  </conditionalFormatting>
  <conditionalFormatting sqref="K100">
    <cfRule type="expression" dxfId="628" priority="831">
      <formula>#REF!="McQueen, Jennifer"</formula>
    </cfRule>
    <cfRule type="expression" dxfId="627" priority="830">
      <formula>#REF!="Jenne, Richard"</formula>
    </cfRule>
    <cfRule type="expression" dxfId="626" priority="829">
      <formula>#REF!="Benzick, Sue"</formula>
    </cfRule>
  </conditionalFormatting>
  <conditionalFormatting sqref="K111">
    <cfRule type="expression" dxfId="625" priority="134">
      <formula>#REF!="Jenne, Richard"</formula>
    </cfRule>
    <cfRule type="expression" dxfId="624" priority="135">
      <formula>#REF!="McQueen, Jennifer"</formula>
    </cfRule>
    <cfRule type="expression" dxfId="623" priority="133">
      <formula>#REF!="Benzick, Sue"</formula>
    </cfRule>
  </conditionalFormatting>
  <conditionalFormatting sqref="K114">
    <cfRule type="expression" dxfId="622" priority="822">
      <formula>#REF!="McQueen, Jennifer"</formula>
    </cfRule>
    <cfRule type="expression" dxfId="621" priority="821">
      <formula>#REF!="Jenne, Richard"</formula>
    </cfRule>
    <cfRule type="expression" dxfId="620" priority="820">
      <formula>#REF!="Benzick, Sue"</formula>
    </cfRule>
  </conditionalFormatting>
  <conditionalFormatting sqref="K121">
    <cfRule type="expression" dxfId="619" priority="811">
      <formula>#REF!="Benzick, Sue"</formula>
    </cfRule>
    <cfRule type="expression" dxfId="618" priority="812">
      <formula>#REF!="Jenne, Richard"</formula>
    </cfRule>
    <cfRule type="expression" dxfId="617" priority="813">
      <formula>#REF!="McQueen, Jennifer"</formula>
    </cfRule>
  </conditionalFormatting>
  <conditionalFormatting sqref="K127">
    <cfRule type="expression" dxfId="616" priority="607">
      <formula>$Y127="Benzick, Sue"</formula>
    </cfRule>
    <cfRule type="expression" dxfId="615" priority="609">
      <formula>$Y127="McQueen, Jennifer"</formula>
    </cfRule>
    <cfRule type="expression" dxfId="614" priority="608">
      <formula>$Y127="Jenne, Richard"</formula>
    </cfRule>
  </conditionalFormatting>
  <conditionalFormatting sqref="K128">
    <cfRule type="expression" dxfId="613" priority="804">
      <formula>#REF!="McQueen, Jennifer"</formula>
    </cfRule>
    <cfRule type="expression" dxfId="612" priority="802">
      <formula>#REF!="Benzick, Sue"</formula>
    </cfRule>
    <cfRule type="expression" dxfId="611" priority="803">
      <formula>#REF!="Jenne, Richard"</formula>
    </cfRule>
  </conditionalFormatting>
  <conditionalFormatting sqref="K136">
    <cfRule type="expression" dxfId="610" priority="603">
      <formula>$Y136="McQueen, Jennifer"</formula>
    </cfRule>
    <cfRule type="expression" dxfId="609" priority="601">
      <formula>$Y136="Benzick, Sue"</formula>
    </cfRule>
    <cfRule type="expression" dxfId="608" priority="602">
      <formula>$Y136="Jenne, Richard"</formula>
    </cfRule>
  </conditionalFormatting>
  <conditionalFormatting sqref="K143:K144">
    <cfRule type="expression" dxfId="607" priority="589">
      <formula>$Y143="Benzick, Sue"</formula>
    </cfRule>
    <cfRule type="expression" dxfId="606" priority="590">
      <formula>$Y143="Jenne, Richard"</formula>
    </cfRule>
    <cfRule type="expression" dxfId="605" priority="591">
      <formula>$Y143="McQueen, Jennifer"</formula>
    </cfRule>
  </conditionalFormatting>
  <conditionalFormatting sqref="K146">
    <cfRule type="expression" dxfId="604" priority="585">
      <formula>$Y146="McQueen, Jennifer"</formula>
    </cfRule>
    <cfRule type="expression" dxfId="603" priority="583">
      <formula>$Y146="Benzick, Sue"</formula>
    </cfRule>
    <cfRule type="expression" dxfId="602" priority="584">
      <formula>$Y146="Jenne, Richard"</formula>
    </cfRule>
  </conditionalFormatting>
  <conditionalFormatting sqref="K151">
    <cfRule type="expression" dxfId="601" priority="577">
      <formula>$Y151="Benzick, Sue"</formula>
    </cfRule>
    <cfRule type="expression" dxfId="600" priority="578">
      <formula>$Y151="Jenne, Richard"</formula>
    </cfRule>
    <cfRule type="expression" dxfId="599" priority="579">
      <formula>$Y151="McQueen, Jennifer"</formula>
    </cfRule>
  </conditionalFormatting>
  <conditionalFormatting sqref="K158:K159">
    <cfRule type="expression" dxfId="598" priority="566">
      <formula>$Y158="Jenne, Richard"</formula>
    </cfRule>
    <cfRule type="expression" dxfId="597" priority="567">
      <formula>$Y158="McQueen, Jennifer"</formula>
    </cfRule>
    <cfRule type="expression" dxfId="596" priority="565">
      <formula>$Y158="Benzick, Sue"</formula>
    </cfRule>
  </conditionalFormatting>
  <conditionalFormatting sqref="K162">
    <cfRule type="expression" dxfId="595" priority="561">
      <formula>$Y162="McQueen, Jennifer"</formula>
    </cfRule>
    <cfRule type="expression" dxfId="594" priority="560">
      <formula>$Y162="Jenne, Richard"</formula>
    </cfRule>
    <cfRule type="expression" dxfId="593" priority="559">
      <formula>$Y162="Benzick, Sue"</formula>
    </cfRule>
  </conditionalFormatting>
  <conditionalFormatting sqref="K168">
    <cfRule type="expression" dxfId="592" priority="554">
      <formula>$Y168="Jenne, Richard"</formula>
    </cfRule>
    <cfRule type="expression" dxfId="591" priority="555">
      <formula>$Y168="McQueen, Jennifer"</formula>
    </cfRule>
    <cfRule type="expression" dxfId="590" priority="553">
      <formula>$Y168="Benzick, Sue"</formula>
    </cfRule>
  </conditionalFormatting>
  <conditionalFormatting sqref="K179">
    <cfRule type="expression" dxfId="589" priority="547">
      <formula>$Y179="Benzick, Sue"</formula>
    </cfRule>
    <cfRule type="expression" dxfId="588" priority="548">
      <formula>$Y179="Jenne, Richard"</formula>
    </cfRule>
    <cfRule type="expression" dxfId="587" priority="549">
      <formula>$Y179="McQueen, Jennifer"</formula>
    </cfRule>
  </conditionalFormatting>
  <conditionalFormatting sqref="K181">
    <cfRule type="expression" dxfId="586" priority="542">
      <formula>$Y181="Jenne, Richard"</formula>
    </cfRule>
    <cfRule type="expression" dxfId="585" priority="541">
      <formula>$Y181="Benzick, Sue"</formula>
    </cfRule>
    <cfRule type="expression" dxfId="584" priority="543">
      <formula>$Y181="McQueen, Jennifer"</formula>
    </cfRule>
  </conditionalFormatting>
  <conditionalFormatting sqref="K184">
    <cfRule type="expression" dxfId="583" priority="535">
      <formula>$Y184="Benzick, Sue"</formula>
    </cfRule>
    <cfRule type="expression" dxfId="582" priority="536">
      <formula>$Y184="Jenne, Richard"</formula>
    </cfRule>
    <cfRule type="expression" dxfId="581" priority="537">
      <formula>$Y184="McQueen, Jennifer"</formula>
    </cfRule>
  </conditionalFormatting>
  <conditionalFormatting sqref="K189">
    <cfRule type="expression" dxfId="580" priority="531">
      <formula>$Y189="McQueen, Jennifer"</formula>
    </cfRule>
    <cfRule type="expression" dxfId="579" priority="529">
      <formula>$Y189="Benzick, Sue"</formula>
    </cfRule>
    <cfRule type="expression" dxfId="578" priority="530">
      <formula>$Y189="Jenne, Richard"</formula>
    </cfRule>
  </conditionalFormatting>
  <conditionalFormatting sqref="K191">
    <cfRule type="expression" dxfId="577" priority="524">
      <formula>$Y191="Jenne, Richard"</formula>
    </cfRule>
    <cfRule type="expression" dxfId="576" priority="525">
      <formula>$Y191="McQueen, Jennifer"</formula>
    </cfRule>
    <cfRule type="expression" dxfId="575" priority="523">
      <formula>$Y191="Benzick, Sue"</formula>
    </cfRule>
  </conditionalFormatting>
  <conditionalFormatting sqref="K199:K206">
    <cfRule type="expression" dxfId="574" priority="114">
      <formula>$Y199="McQueen, Jennifer"</formula>
    </cfRule>
    <cfRule type="expression" dxfId="573" priority="112">
      <formula>$Y199="Benzick, Sue"</formula>
    </cfRule>
    <cfRule type="expression" dxfId="572" priority="113">
      <formula>$Y199="Jenne, Richard"</formula>
    </cfRule>
  </conditionalFormatting>
  <conditionalFormatting sqref="K209:K210">
    <cfRule type="expression" dxfId="571" priority="471">
      <formula>$Y209="McQueen, Jennifer"</formula>
    </cfRule>
    <cfRule type="expression" dxfId="570" priority="470">
      <formula>$Y209="Jenne, Richard"</formula>
    </cfRule>
    <cfRule type="expression" dxfId="569" priority="469">
      <formula>$Y209="Benzick, Sue"</formula>
    </cfRule>
  </conditionalFormatting>
  <conditionalFormatting sqref="K214">
    <cfRule type="expression" dxfId="568" priority="465">
      <formula>$Y214="McQueen, Jennifer"</formula>
    </cfRule>
    <cfRule type="expression" dxfId="567" priority="463">
      <formula>$Y214="Benzick, Sue"</formula>
    </cfRule>
    <cfRule type="expression" dxfId="566" priority="464">
      <formula>$Y214="Jenne, Richard"</formula>
    </cfRule>
  </conditionalFormatting>
  <conditionalFormatting sqref="K217:K218">
    <cfRule type="expression" dxfId="565" priority="451">
      <formula>$Y217="Benzick, Sue"</formula>
    </cfRule>
    <cfRule type="expression" dxfId="564" priority="452">
      <formula>$Y217="Jenne, Richard"</formula>
    </cfRule>
    <cfRule type="expression" dxfId="563" priority="453">
      <formula>$Y217="McQueen, Jennifer"</formula>
    </cfRule>
  </conditionalFormatting>
  <conditionalFormatting sqref="K222">
    <cfRule type="expression" dxfId="562" priority="445">
      <formula>$Y222="Benzick, Sue"</formula>
    </cfRule>
    <cfRule type="expression" dxfId="561" priority="446">
      <formula>$Y222="Jenne, Richard"</formula>
    </cfRule>
    <cfRule type="expression" dxfId="560" priority="447">
      <formula>$Y222="McQueen, Jennifer"</formula>
    </cfRule>
  </conditionalFormatting>
  <conditionalFormatting sqref="K226">
    <cfRule type="expression" dxfId="559" priority="440">
      <formula>$Y226="Jenne, Richard"</formula>
    </cfRule>
    <cfRule type="expression" dxfId="558" priority="439">
      <formula>$Y226="Benzick, Sue"</formula>
    </cfRule>
    <cfRule type="expression" dxfId="557" priority="441">
      <formula>$Y226="McQueen, Jennifer"</formula>
    </cfRule>
  </conditionalFormatting>
  <conditionalFormatting sqref="K235:K236">
    <cfRule type="expression" dxfId="556" priority="428">
      <formula>$Y235="Jenne, Richard"</formula>
    </cfRule>
    <cfRule type="expression" dxfId="555" priority="429">
      <formula>$Y235="McQueen, Jennifer"</formula>
    </cfRule>
    <cfRule type="expression" dxfId="554" priority="427">
      <formula>$Y235="Benzick, Sue"</formula>
    </cfRule>
  </conditionalFormatting>
  <conditionalFormatting sqref="K239">
    <cfRule type="expression" dxfId="553" priority="422">
      <formula>$Y239="Jenne, Richard"</formula>
    </cfRule>
    <cfRule type="expression" dxfId="552" priority="423">
      <formula>$Y239="McQueen, Jennifer"</formula>
    </cfRule>
    <cfRule type="expression" dxfId="551" priority="421">
      <formula>$Y239="Benzick, Sue"</formula>
    </cfRule>
  </conditionalFormatting>
  <conditionalFormatting sqref="K244">
    <cfRule type="expression" dxfId="550" priority="416">
      <formula>$Y244="Jenne, Richard"</formula>
    </cfRule>
    <cfRule type="expression" dxfId="549" priority="415">
      <formula>$Y244="Benzick, Sue"</formula>
    </cfRule>
    <cfRule type="expression" dxfId="548" priority="417">
      <formula>$Y244="McQueen, Jennifer"</formula>
    </cfRule>
  </conditionalFormatting>
  <conditionalFormatting sqref="K246:K247">
    <cfRule type="expression" dxfId="547" priority="405">
      <formula>$Y246="McQueen, Jennifer"</formula>
    </cfRule>
    <cfRule type="expression" dxfId="546" priority="403">
      <formula>$Y246="Benzick, Sue"</formula>
    </cfRule>
    <cfRule type="expression" dxfId="545" priority="404">
      <formula>$Y246="Jenne, Richard"</formula>
    </cfRule>
  </conditionalFormatting>
  <conditionalFormatting sqref="K249">
    <cfRule type="expression" dxfId="544" priority="399">
      <formula>$Y249="McQueen, Jennifer"</formula>
    </cfRule>
    <cfRule type="expression" dxfId="543" priority="398">
      <formula>$Y249="Jenne, Richard"</formula>
    </cfRule>
    <cfRule type="expression" dxfId="542" priority="397">
      <formula>$Y249="Benzick, Sue"</formula>
    </cfRule>
  </conditionalFormatting>
  <conditionalFormatting sqref="K252:K253">
    <cfRule type="expression" dxfId="541" priority="386">
      <formula>$Y252="Jenne, Richard"</formula>
    </cfRule>
    <cfRule type="expression" dxfId="540" priority="385">
      <formula>$Y252="Benzick, Sue"</formula>
    </cfRule>
    <cfRule type="expression" dxfId="539" priority="387">
      <formula>$Y252="McQueen, Jennifer"</formula>
    </cfRule>
  </conditionalFormatting>
  <conditionalFormatting sqref="K258">
    <cfRule type="expression" dxfId="538" priority="379">
      <formula>$Y258="Benzick, Sue"</formula>
    </cfRule>
    <cfRule type="expression" dxfId="537" priority="380">
      <formula>$Y258="Jenne, Richard"</formula>
    </cfRule>
    <cfRule type="expression" dxfId="536" priority="381">
      <formula>$Y258="McQueen, Jennifer"</formula>
    </cfRule>
  </conditionalFormatting>
  <conditionalFormatting sqref="K273">
    <cfRule type="expression" dxfId="535" priority="361">
      <formula>$Y273="Benzick, Sue"</formula>
    </cfRule>
    <cfRule type="expression" dxfId="534" priority="362">
      <formula>$Y273="Jenne, Richard"</formula>
    </cfRule>
    <cfRule type="expression" dxfId="533" priority="363">
      <formula>$Y273="McQueen, Jennifer"</formula>
    </cfRule>
  </conditionalFormatting>
  <conditionalFormatting sqref="K275">
    <cfRule type="expression" dxfId="532" priority="355">
      <formula>$Y275="Benzick, Sue"</formula>
    </cfRule>
    <cfRule type="expression" dxfId="531" priority="356">
      <formula>$Y275="Jenne, Richard"</formula>
    </cfRule>
    <cfRule type="expression" dxfId="530" priority="357">
      <formula>$Y275="McQueen, Jennifer"</formula>
    </cfRule>
  </conditionalFormatting>
  <conditionalFormatting sqref="K283">
    <cfRule type="expression" dxfId="529" priority="349">
      <formula>$Y283="Benzick, Sue"</formula>
    </cfRule>
    <cfRule type="expression" dxfId="528" priority="350">
      <formula>$Y283="Jenne, Richard"</formula>
    </cfRule>
    <cfRule type="expression" dxfId="527" priority="351">
      <formula>$Y283="McQueen, Jennifer"</formula>
    </cfRule>
  </conditionalFormatting>
  <conditionalFormatting sqref="K287">
    <cfRule type="expression" dxfId="526" priority="344">
      <formula>$Y287="Jenne, Richard"</formula>
    </cfRule>
    <cfRule type="expression" dxfId="525" priority="343">
      <formula>$Y287="Benzick, Sue"</formula>
    </cfRule>
    <cfRule type="expression" dxfId="524" priority="345">
      <formula>$Y287="McQueen, Jennifer"</formula>
    </cfRule>
  </conditionalFormatting>
  <conditionalFormatting sqref="K291">
    <cfRule type="expression" dxfId="523" priority="339">
      <formula>$Y291="McQueen, Jennifer"</formula>
    </cfRule>
    <cfRule type="expression" dxfId="522" priority="338">
      <formula>$Y291="Jenne, Richard"</formula>
    </cfRule>
    <cfRule type="expression" dxfId="521" priority="337">
      <formula>$Y291="Benzick, Sue"</formula>
    </cfRule>
  </conditionalFormatting>
  <conditionalFormatting sqref="K294">
    <cfRule type="expression" dxfId="520" priority="90">
      <formula>$Y294="McQueen, Jennifer"</formula>
    </cfRule>
    <cfRule type="expression" dxfId="519" priority="89">
      <formula>$Y294="Jenne, Richard"</formula>
    </cfRule>
    <cfRule type="expression" dxfId="518" priority="88">
      <formula>$Y294="Benzick, Sue"</formula>
    </cfRule>
  </conditionalFormatting>
  <conditionalFormatting sqref="K296">
    <cfRule type="expression" dxfId="517" priority="331">
      <formula>$Y296="Benzick, Sue"</formula>
    </cfRule>
    <cfRule type="expression" dxfId="516" priority="333">
      <formula>$Y296="McQueen, Jennifer"</formula>
    </cfRule>
    <cfRule type="expression" dxfId="515" priority="332">
      <formula>$Y296="Jenne, Richard"</formula>
    </cfRule>
  </conditionalFormatting>
  <conditionalFormatting sqref="K299:K300">
    <cfRule type="expression" dxfId="514" priority="321">
      <formula>$Y299="McQueen, Jennifer"</formula>
    </cfRule>
    <cfRule type="expression" dxfId="513" priority="320">
      <formula>$Y299="Jenne, Richard"</formula>
    </cfRule>
    <cfRule type="expression" dxfId="512" priority="319">
      <formula>$Y299="Benzick, Sue"</formula>
    </cfRule>
  </conditionalFormatting>
  <conditionalFormatting sqref="K307">
    <cfRule type="expression" dxfId="511" priority="313">
      <formula>$Y307="Benzick, Sue"</formula>
    </cfRule>
    <cfRule type="expression" dxfId="510" priority="314">
      <formula>$Y307="Jenne, Richard"</formula>
    </cfRule>
    <cfRule type="expression" dxfId="509" priority="315">
      <formula>$Y307="McQueen, Jennifer"</formula>
    </cfRule>
  </conditionalFormatting>
  <conditionalFormatting sqref="K314">
    <cfRule type="expression" dxfId="508" priority="307">
      <formula>$Y314="Benzick, Sue"</formula>
    </cfRule>
    <cfRule type="expression" dxfId="507" priority="308">
      <formula>$Y314="Jenne, Richard"</formula>
    </cfRule>
    <cfRule type="expression" dxfId="506" priority="309">
      <formula>$Y314="McQueen, Jennifer"</formula>
    </cfRule>
  </conditionalFormatting>
  <conditionalFormatting sqref="K316">
    <cfRule type="expression" dxfId="505" priority="302">
      <formula>$Y316="Jenne, Richard"</formula>
    </cfRule>
    <cfRule type="expression" dxfId="504" priority="303">
      <formula>$Y316="McQueen, Jennifer"</formula>
    </cfRule>
    <cfRule type="expression" dxfId="503" priority="301">
      <formula>$Y316="Benzick, Sue"</formula>
    </cfRule>
  </conditionalFormatting>
  <conditionalFormatting sqref="K329">
    <cfRule type="expression" dxfId="502" priority="291">
      <formula>$Y329="McQueen, Jennifer"</formula>
    </cfRule>
    <cfRule type="expression" dxfId="501" priority="289">
      <formula>$Y329="Benzick, Sue"</formula>
    </cfRule>
    <cfRule type="expression" dxfId="500" priority="290">
      <formula>$Y329="Jenne, Richard"</formula>
    </cfRule>
  </conditionalFormatting>
  <conditionalFormatting sqref="K331:K332">
    <cfRule type="expression" dxfId="499" priority="277">
      <formula>$Y331="Benzick, Sue"</formula>
    </cfRule>
    <cfRule type="expression" dxfId="498" priority="278">
      <formula>$Y331="Jenne, Richard"</formula>
    </cfRule>
    <cfRule type="expression" dxfId="497" priority="279">
      <formula>$Y331="McQueen, Jennifer"</formula>
    </cfRule>
  </conditionalFormatting>
  <conditionalFormatting sqref="K361">
    <cfRule type="expression" dxfId="496" priority="271">
      <formula>$Y361="Benzick, Sue"</formula>
    </cfRule>
    <cfRule type="expression" dxfId="495" priority="273">
      <formula>$Y361="McQueen, Jennifer"</formula>
    </cfRule>
    <cfRule type="expression" dxfId="494" priority="272">
      <formula>$Y361="Jenne, Richard"</formula>
    </cfRule>
  </conditionalFormatting>
  <conditionalFormatting sqref="K375">
    <cfRule type="expression" dxfId="493" priority="49">
      <formula>#REF!="Benzick, Sue"</formula>
    </cfRule>
    <cfRule type="expression" dxfId="492" priority="51">
      <formula>#REF!="McQueen, Jennifer"</formula>
    </cfRule>
    <cfRule type="expression" dxfId="491" priority="50">
      <formula>#REF!="Jenne, Richard"</formula>
    </cfRule>
  </conditionalFormatting>
  <conditionalFormatting sqref="K142:L142 N142:O142">
    <cfRule type="expression" dxfId="490" priority="264">
      <formula>#REF!="McQueen, Jennifer"</formula>
    </cfRule>
    <cfRule type="expression" dxfId="489" priority="263">
      <formula>#REF!="Jenne, Richard"</formula>
    </cfRule>
    <cfRule type="expression" dxfId="488" priority="262">
      <formula>#REF!="Benzick, Sue"</formula>
    </cfRule>
  </conditionalFormatting>
  <conditionalFormatting sqref="K145:L145 N145:O145 K148:L148 N148:O148">
    <cfRule type="expression" dxfId="487" priority="252">
      <formula>#REF!="McQueen, Jennifer"</formula>
    </cfRule>
    <cfRule type="expression" dxfId="486" priority="250">
      <formula>#REF!="Benzick, Sue"</formula>
    </cfRule>
    <cfRule type="expression" dxfId="485" priority="251">
      <formula>#REF!="Jenne, Richard"</formula>
    </cfRule>
  </conditionalFormatting>
  <conditionalFormatting sqref="K154:L154 N154:O154">
    <cfRule type="expression" dxfId="484" priority="244">
      <formula>#REF!="Benzick, Sue"</formula>
    </cfRule>
    <cfRule type="expression" dxfId="483" priority="245">
      <formula>#REF!="Jenne, Richard"</formula>
    </cfRule>
    <cfRule type="expression" dxfId="482" priority="246">
      <formula>#REF!="McQueen, Jennifer"</formula>
    </cfRule>
  </conditionalFormatting>
  <conditionalFormatting sqref="K163:L163 N163:O163">
    <cfRule type="expression" dxfId="481" priority="240">
      <formula>#REF!="McQueen, Jennifer"</formula>
    </cfRule>
    <cfRule type="expression" dxfId="480" priority="239">
      <formula>#REF!="Jenne, Richard"</formula>
    </cfRule>
    <cfRule type="expression" dxfId="479" priority="238">
      <formula>#REF!="Benzick, Sue"</formula>
    </cfRule>
  </conditionalFormatting>
  <conditionalFormatting sqref="K196:L196 N196:O196">
    <cfRule type="expression" dxfId="478" priority="232">
      <formula>#REF!="Benzick, Sue"</formula>
    </cfRule>
    <cfRule type="expression" dxfId="477" priority="234">
      <formula>#REF!="McQueen, Jennifer"</formula>
    </cfRule>
    <cfRule type="expression" dxfId="476" priority="233">
      <formula>#REF!="Jenne, Richard"</formula>
    </cfRule>
  </conditionalFormatting>
  <conditionalFormatting sqref="K213:L213 N213:O213">
    <cfRule type="expression" dxfId="475" priority="227">
      <formula>#REF!="Jenne, Richard"</formula>
    </cfRule>
    <cfRule type="expression" dxfId="474" priority="228">
      <formula>#REF!="McQueen, Jennifer"</formula>
    </cfRule>
    <cfRule type="expression" dxfId="473" priority="226">
      <formula>#REF!="Benzick, Sue"</formula>
    </cfRule>
  </conditionalFormatting>
  <conditionalFormatting sqref="K215:L215 N215:O215">
    <cfRule type="expression" dxfId="472" priority="220">
      <formula>#REF!="Benzick, Sue"</formula>
    </cfRule>
    <cfRule type="expression" dxfId="471" priority="221">
      <formula>#REF!="Jenne, Richard"</formula>
    </cfRule>
    <cfRule type="expression" dxfId="470" priority="222">
      <formula>#REF!="McQueen, Jennifer"</formula>
    </cfRule>
  </conditionalFormatting>
  <conditionalFormatting sqref="K219:L219 N219:O219">
    <cfRule type="expression" dxfId="469" priority="216">
      <formula>#REF!="McQueen, Jennifer"</formula>
    </cfRule>
    <cfRule type="expression" dxfId="468" priority="214">
      <formula>#REF!="Benzick, Sue"</formula>
    </cfRule>
    <cfRule type="expression" dxfId="467" priority="215">
      <formula>#REF!="Jenne, Richard"</formula>
    </cfRule>
  </conditionalFormatting>
  <conditionalFormatting sqref="K227:L228 N227:O228">
    <cfRule type="expression" dxfId="466" priority="202">
      <formula>#REF!="Benzick, Sue"</formula>
    </cfRule>
    <cfRule type="expression" dxfId="465" priority="203">
      <formula>#REF!="Jenne, Richard"</formula>
    </cfRule>
    <cfRule type="expression" dxfId="464" priority="204">
      <formula>#REF!="McQueen, Jennifer"</formula>
    </cfRule>
  </conditionalFormatting>
  <conditionalFormatting sqref="K248:L248 N248:O248">
    <cfRule type="expression" dxfId="463" priority="97">
      <formula>#REF!="Benzick, Sue"</formula>
    </cfRule>
    <cfRule type="expression" dxfId="462" priority="98">
      <formula>#REF!="Jenne, Richard"</formula>
    </cfRule>
    <cfRule type="expression" dxfId="461" priority="99">
      <formula>#REF!="McQueen, Jennifer"</formula>
    </cfRule>
  </conditionalFormatting>
  <conditionalFormatting sqref="K272:L272 N272:O272">
    <cfRule type="expression" dxfId="460" priority="196">
      <formula>#REF!="Benzick, Sue"</formula>
    </cfRule>
    <cfRule type="expression" dxfId="459" priority="197">
      <formula>#REF!="Jenne, Richard"</formula>
    </cfRule>
    <cfRule type="expression" dxfId="458" priority="198">
      <formula>#REF!="McQueen, Jennifer"</formula>
    </cfRule>
  </conditionalFormatting>
  <conditionalFormatting sqref="K280:L280 N280:O280">
    <cfRule type="expression" dxfId="457" priority="191">
      <formula>#REF!="Jenne, Richard"</formula>
    </cfRule>
    <cfRule type="expression" dxfId="456" priority="190">
      <formula>#REF!="Benzick, Sue"</formula>
    </cfRule>
    <cfRule type="expression" dxfId="455" priority="192">
      <formula>#REF!="McQueen, Jennifer"</formula>
    </cfRule>
  </conditionalFormatting>
  <conditionalFormatting sqref="K298:L298 N298:O298">
    <cfRule type="expression" dxfId="454" priority="185">
      <formula>#REF!="Jenne, Richard"</formula>
    </cfRule>
    <cfRule type="expression" dxfId="453" priority="184">
      <formula>#REF!="Benzick, Sue"</formula>
    </cfRule>
    <cfRule type="expression" dxfId="452" priority="186">
      <formula>#REF!="McQueen, Jennifer"</formula>
    </cfRule>
  </conditionalFormatting>
  <conditionalFormatting sqref="K304:L305 N304:O305">
    <cfRule type="expression" dxfId="451" priority="174">
      <formula>#REF!="McQueen, Jennifer"</formula>
    </cfRule>
    <cfRule type="expression" dxfId="450" priority="172">
      <formula>#REF!="Benzick, Sue"</formula>
    </cfRule>
    <cfRule type="expression" dxfId="449" priority="173">
      <formula>#REF!="Jenne, Richard"</formula>
    </cfRule>
  </conditionalFormatting>
  <conditionalFormatting sqref="K309:L309 N309:O309">
    <cfRule type="expression" dxfId="448" priority="168">
      <formula>#REF!="McQueen, Jennifer"</formula>
    </cfRule>
    <cfRule type="expression" dxfId="447" priority="167">
      <formula>#REF!="Jenne, Richard"</formula>
    </cfRule>
    <cfRule type="expression" dxfId="446" priority="166">
      <formula>#REF!="Benzick, Sue"</formula>
    </cfRule>
  </conditionalFormatting>
  <conditionalFormatting sqref="K319:L319 N319:O319">
    <cfRule type="expression" dxfId="445" priority="162">
      <formula>#REF!="McQueen, Jennifer"</formula>
    </cfRule>
    <cfRule type="expression" dxfId="444" priority="160">
      <formula>#REF!="Benzick, Sue"</formula>
    </cfRule>
    <cfRule type="expression" dxfId="443" priority="161">
      <formula>#REF!="Jenne, Richard"</formula>
    </cfRule>
  </conditionalFormatting>
  <conditionalFormatting sqref="K326:L326 N326:O326">
    <cfRule type="expression" dxfId="442" priority="154">
      <formula>#REF!="Benzick, Sue"</formula>
    </cfRule>
    <cfRule type="expression" dxfId="441" priority="155">
      <formula>#REF!="Jenne, Richard"</formula>
    </cfRule>
    <cfRule type="expression" dxfId="440" priority="156">
      <formula>#REF!="McQueen, Jennifer"</formula>
    </cfRule>
  </conditionalFormatting>
  <conditionalFormatting sqref="K333:L333 N333:O333">
    <cfRule type="expression" dxfId="439" priority="148">
      <formula>#REF!="Benzick, Sue"</formula>
    </cfRule>
    <cfRule type="expression" dxfId="438" priority="149">
      <formula>#REF!="Jenne, Richard"</formula>
    </cfRule>
    <cfRule type="expression" dxfId="437" priority="150">
      <formula>#REF!="McQueen, Jennifer"</formula>
    </cfRule>
  </conditionalFormatting>
  <conditionalFormatting sqref="K10:N10">
    <cfRule type="expression" dxfId="436" priority="2048">
      <formula>#REF!="Jenne, Richard"</formula>
    </cfRule>
    <cfRule type="expression" dxfId="435" priority="2047">
      <formula>#REF!="Benzick, Sue"</formula>
    </cfRule>
    <cfRule type="expression" dxfId="434" priority="2049">
      <formula>#REF!="McQueen, Jennifer"</formula>
    </cfRule>
  </conditionalFormatting>
  <conditionalFormatting sqref="K12:O14 K16:O22 K26:O26 K28:O28 K30:O30 K33:O33">
    <cfRule type="expression" dxfId="433" priority="2100">
      <formula>#REF!="McQueen, Jennifer"</formula>
    </cfRule>
    <cfRule type="expression" dxfId="432" priority="2098">
      <formula>#REF!="Benzick, Sue"</formula>
    </cfRule>
    <cfRule type="expression" dxfId="431" priority="2099">
      <formula>#REF!="Jenne, Richard"</formula>
    </cfRule>
  </conditionalFormatting>
  <conditionalFormatting sqref="K35:O37">
    <cfRule type="expression" dxfId="430" priority="1164">
      <formula>#REF!="McQueen, Jennifer"</formula>
    </cfRule>
    <cfRule type="expression" dxfId="429" priority="1163">
      <formula>#REF!="Jenne, Richard"</formula>
    </cfRule>
    <cfRule type="expression" dxfId="428" priority="1162">
      <formula>#REF!="Benzick, Sue"</formula>
    </cfRule>
  </conditionalFormatting>
  <conditionalFormatting sqref="K39:O40">
    <cfRule type="expression" dxfId="427" priority="1152">
      <formula>#REF!="McQueen, Jennifer"</formula>
    </cfRule>
    <cfRule type="expression" dxfId="426" priority="1150">
      <formula>#REF!="Benzick, Sue"</formula>
    </cfRule>
    <cfRule type="expression" dxfId="425" priority="1151">
      <formula>#REF!="Jenne, Richard"</formula>
    </cfRule>
  </conditionalFormatting>
  <conditionalFormatting sqref="K44:O44">
    <cfRule type="expression" dxfId="424" priority="1144">
      <formula>#REF!="Benzick, Sue"</formula>
    </cfRule>
    <cfRule type="expression" dxfId="423" priority="1146">
      <formula>#REF!="McQueen, Jennifer"</formula>
    </cfRule>
    <cfRule type="expression" dxfId="422" priority="1145">
      <formula>#REF!="Jenne, Richard"</formula>
    </cfRule>
  </conditionalFormatting>
  <conditionalFormatting sqref="K47:O47">
    <cfRule type="expression" dxfId="421" priority="1248">
      <formula>#REF!="McQueen, Jennifer"</formula>
    </cfRule>
    <cfRule type="expression" dxfId="420" priority="1247">
      <formula>#REF!="Jenne, Richard"</formula>
    </cfRule>
    <cfRule type="expression" dxfId="419" priority="1246">
      <formula>#REF!="Benzick, Sue"</formula>
    </cfRule>
  </conditionalFormatting>
  <conditionalFormatting sqref="K49:O51">
    <cfRule type="expression" dxfId="418" priority="1134">
      <formula>#REF!="McQueen, Jennifer"</formula>
    </cfRule>
    <cfRule type="expression" dxfId="417" priority="1132">
      <formula>#REF!="Benzick, Sue"</formula>
    </cfRule>
    <cfRule type="expression" dxfId="416" priority="1133">
      <formula>#REF!="Jenne, Richard"</formula>
    </cfRule>
  </conditionalFormatting>
  <conditionalFormatting sqref="K53:O54">
    <cfRule type="expression" dxfId="415" priority="1126">
      <formula>#REF!="Benzick, Sue"</formula>
    </cfRule>
    <cfRule type="expression" dxfId="414" priority="1127">
      <formula>#REF!="Jenne, Richard"</formula>
    </cfRule>
    <cfRule type="expression" dxfId="413" priority="1128">
      <formula>#REF!="McQueen, Jennifer"</formula>
    </cfRule>
  </conditionalFormatting>
  <conditionalFormatting sqref="K60:O61">
    <cfRule type="expression" dxfId="412" priority="1116">
      <formula>#REF!="McQueen, Jennifer"</formula>
    </cfRule>
    <cfRule type="expression" dxfId="411" priority="1115">
      <formula>#REF!="Jenne, Richard"</formula>
    </cfRule>
    <cfRule type="expression" dxfId="410" priority="1114">
      <formula>#REF!="Benzick, Sue"</formula>
    </cfRule>
  </conditionalFormatting>
  <conditionalFormatting sqref="K65:O65">
    <cfRule type="expression" dxfId="409" priority="1230">
      <formula>#REF!="McQueen, Jennifer"</formula>
    </cfRule>
    <cfRule type="expression" dxfId="408" priority="1229">
      <formula>#REF!="Jenne, Richard"</formula>
    </cfRule>
    <cfRule type="expression" dxfId="407" priority="1228">
      <formula>#REF!="Benzick, Sue"</formula>
    </cfRule>
  </conditionalFormatting>
  <conditionalFormatting sqref="K67:O67">
    <cfRule type="expression" dxfId="406" priority="1108">
      <formula>#REF!="Benzick, Sue"</formula>
    </cfRule>
    <cfRule type="expression" dxfId="405" priority="1109">
      <formula>#REF!="Jenne, Richard"</formula>
    </cfRule>
    <cfRule type="expression" dxfId="404" priority="1110">
      <formula>#REF!="McQueen, Jennifer"</formula>
    </cfRule>
  </conditionalFormatting>
  <conditionalFormatting sqref="K70:O74">
    <cfRule type="expression" dxfId="403" priority="1086">
      <formula>#REF!="McQueen, Jennifer"</formula>
    </cfRule>
    <cfRule type="expression" dxfId="402" priority="1085">
      <formula>#REF!="Jenne, Richard"</formula>
    </cfRule>
    <cfRule type="expression" dxfId="401" priority="1084">
      <formula>#REF!="Benzick, Sue"</formula>
    </cfRule>
  </conditionalFormatting>
  <conditionalFormatting sqref="K81:O83">
    <cfRule type="expression" dxfId="400" priority="1067">
      <formula>#REF!="Jenne, Richard"</formula>
    </cfRule>
    <cfRule type="expression" dxfId="399" priority="1066">
      <formula>#REF!="Benzick, Sue"</formula>
    </cfRule>
    <cfRule type="expression" dxfId="398" priority="1068">
      <formula>#REF!="McQueen, Jennifer"</formula>
    </cfRule>
  </conditionalFormatting>
  <conditionalFormatting sqref="K90:O90">
    <cfRule type="expression" dxfId="397" priority="1061">
      <formula>#REF!="Jenne, Richard"</formula>
    </cfRule>
    <cfRule type="expression" dxfId="396" priority="1062">
      <formula>#REF!="McQueen, Jennifer"</formula>
    </cfRule>
    <cfRule type="expression" dxfId="395" priority="1060">
      <formula>#REF!="Benzick, Sue"</formula>
    </cfRule>
  </conditionalFormatting>
  <conditionalFormatting sqref="K94:O94">
    <cfRule type="expression" dxfId="394" priority="1054">
      <formula>#REF!="Benzick, Sue"</formula>
    </cfRule>
    <cfRule type="expression" dxfId="393" priority="1055">
      <formula>#REF!="Jenne, Richard"</formula>
    </cfRule>
    <cfRule type="expression" dxfId="392" priority="1056">
      <formula>#REF!="McQueen, Jennifer"</formula>
    </cfRule>
  </conditionalFormatting>
  <conditionalFormatting sqref="K101:O103">
    <cfRule type="expression" dxfId="391" priority="1048">
      <formula>#REF!="Benzick, Sue"</formula>
    </cfRule>
    <cfRule type="expression" dxfId="390" priority="1050">
      <formula>#REF!="McQueen, Jennifer"</formula>
    </cfRule>
    <cfRule type="expression" dxfId="389" priority="1049">
      <formula>#REF!="Jenne, Richard"</formula>
    </cfRule>
  </conditionalFormatting>
  <conditionalFormatting sqref="K105:O106">
    <cfRule type="expression" dxfId="388" priority="147">
      <formula>#REF!="McQueen, Jennifer"</formula>
    </cfRule>
    <cfRule type="expression" dxfId="387" priority="146">
      <formula>#REF!="Jenne, Richard"</formula>
    </cfRule>
    <cfRule type="expression" dxfId="386" priority="145">
      <formula>#REF!="Benzick, Sue"</formula>
    </cfRule>
  </conditionalFormatting>
  <conditionalFormatting sqref="K109:O109">
    <cfRule type="expression" dxfId="385" priority="1037">
      <formula>#REF!="Jenne, Richard"</formula>
    </cfRule>
    <cfRule type="expression" dxfId="384" priority="1036">
      <formula>#REF!="Benzick, Sue"</formula>
    </cfRule>
    <cfRule type="expression" dxfId="383" priority="1038">
      <formula>#REF!="McQueen, Jennifer"</formula>
    </cfRule>
  </conditionalFormatting>
  <conditionalFormatting sqref="K112:O112">
    <cfRule type="expression" dxfId="382" priority="1204">
      <formula>#REF!="Benzick, Sue"</formula>
    </cfRule>
    <cfRule type="expression" dxfId="381" priority="1206">
      <formula>#REF!="McQueen, Jennifer"</formula>
    </cfRule>
    <cfRule type="expression" dxfId="380" priority="1205">
      <formula>#REF!="Jenne, Richard"</formula>
    </cfRule>
  </conditionalFormatting>
  <conditionalFormatting sqref="K115:O118">
    <cfRule type="expression" dxfId="379" priority="1030">
      <formula>#REF!="Benzick, Sue"</formula>
    </cfRule>
    <cfRule type="expression" dxfId="378" priority="1032">
      <formula>#REF!="McQueen, Jennifer"</formula>
    </cfRule>
    <cfRule type="expression" dxfId="377" priority="1031">
      <formula>#REF!="Jenne, Richard"</formula>
    </cfRule>
  </conditionalFormatting>
  <conditionalFormatting sqref="K120:O120">
    <cfRule type="expression" dxfId="376" priority="1026">
      <formula>#REF!="McQueen, Jennifer"</formula>
    </cfRule>
    <cfRule type="expression" dxfId="375" priority="1025">
      <formula>#REF!="Jenne, Richard"</formula>
    </cfRule>
    <cfRule type="expression" dxfId="374" priority="1024">
      <formula>#REF!="Benzick, Sue"</formula>
    </cfRule>
  </conditionalFormatting>
  <conditionalFormatting sqref="K124:O126">
    <cfRule type="expression" dxfId="373" priority="1013">
      <formula>#REF!="Jenne, Richard"</formula>
    </cfRule>
    <cfRule type="expression" dxfId="372" priority="1014">
      <formula>#REF!="McQueen, Jennifer"</formula>
    </cfRule>
    <cfRule type="expression" dxfId="371" priority="1012">
      <formula>#REF!="Benzick, Sue"</formula>
    </cfRule>
  </conditionalFormatting>
  <conditionalFormatting sqref="K129:O131">
    <cfRule type="expression" dxfId="370" priority="1001">
      <formula>#REF!="Jenne, Richard"</formula>
    </cfRule>
    <cfRule type="expression" dxfId="369" priority="1000">
      <formula>#REF!="Benzick, Sue"</formula>
    </cfRule>
    <cfRule type="expression" dxfId="368" priority="1002">
      <formula>#REF!="McQueen, Jennifer"</formula>
    </cfRule>
  </conditionalFormatting>
  <conditionalFormatting sqref="K138:O138">
    <cfRule type="expression" dxfId="367" priority="131">
      <formula>#REF!="Jenne, Richard"</formula>
    </cfRule>
    <cfRule type="expression" dxfId="366" priority="132">
      <formula>#REF!="McQueen, Jennifer"</formula>
    </cfRule>
    <cfRule type="expression" dxfId="365" priority="130">
      <formula>#REF!="Benzick, Sue"</formula>
    </cfRule>
  </conditionalFormatting>
  <conditionalFormatting sqref="K157:O157">
    <cfRule type="expression" dxfId="364" priority="797">
      <formula>#REF!="Jenne, Richard"</formula>
    </cfRule>
    <cfRule type="expression" dxfId="363" priority="798">
      <formula>#REF!="McQueen, Jennifer"</formula>
    </cfRule>
    <cfRule type="expression" dxfId="362" priority="796">
      <formula>#REF!="Benzick, Sue"</formula>
    </cfRule>
  </conditionalFormatting>
  <conditionalFormatting sqref="K160:O161">
    <cfRule type="expression" dxfId="361" priority="785">
      <formula>#REF!="Jenne, Richard"</formula>
    </cfRule>
    <cfRule type="expression" dxfId="360" priority="784">
      <formula>#REF!="Benzick, Sue"</formula>
    </cfRule>
    <cfRule type="expression" dxfId="359" priority="786">
      <formula>#REF!="McQueen, Jennifer"</formula>
    </cfRule>
  </conditionalFormatting>
  <conditionalFormatting sqref="K164:O164">
    <cfRule type="expression" dxfId="358" priority="778">
      <formula>#REF!="Benzick, Sue"</formula>
    </cfRule>
    <cfRule type="expression" dxfId="357" priority="779">
      <formula>#REF!="Jenne, Richard"</formula>
    </cfRule>
    <cfRule type="expression" dxfId="356" priority="780">
      <formula>#REF!="McQueen, Jennifer"</formula>
    </cfRule>
  </conditionalFormatting>
  <conditionalFormatting sqref="K167:O167">
    <cfRule type="expression" dxfId="355" priority="122">
      <formula>#REF!="Jenne, Richard"</formula>
    </cfRule>
    <cfRule type="expression" dxfId="354" priority="121">
      <formula>#REF!="Benzick, Sue"</formula>
    </cfRule>
    <cfRule type="expression" dxfId="353" priority="123">
      <formula>#REF!="McQueen, Jennifer"</formula>
    </cfRule>
  </conditionalFormatting>
  <conditionalFormatting sqref="K170:O171">
    <cfRule type="expression" dxfId="352" priority="766">
      <formula>#REF!="Benzick, Sue"</formula>
    </cfRule>
    <cfRule type="expression" dxfId="351" priority="767">
      <formula>#REF!="Jenne, Richard"</formula>
    </cfRule>
    <cfRule type="expression" dxfId="350" priority="768">
      <formula>#REF!="McQueen, Jennifer"</formula>
    </cfRule>
  </conditionalFormatting>
  <conditionalFormatting sqref="K180:O180">
    <cfRule type="expression" dxfId="349" priority="761">
      <formula>#REF!="Jenne, Richard"</formula>
    </cfRule>
    <cfRule type="expression" dxfId="348" priority="762">
      <formula>#REF!="McQueen, Jennifer"</formula>
    </cfRule>
    <cfRule type="expression" dxfId="347" priority="760">
      <formula>#REF!="Benzick, Sue"</formula>
    </cfRule>
  </conditionalFormatting>
  <conditionalFormatting sqref="K183:O183">
    <cfRule type="expression" dxfId="346" priority="754">
      <formula>#REF!="Benzick, Sue"</formula>
    </cfRule>
    <cfRule type="expression" dxfId="345" priority="755">
      <formula>#REF!="Jenne, Richard"</formula>
    </cfRule>
    <cfRule type="expression" dxfId="344" priority="756">
      <formula>#REF!="McQueen, Jennifer"</formula>
    </cfRule>
  </conditionalFormatting>
  <conditionalFormatting sqref="K192:O192">
    <cfRule type="expression" dxfId="343" priority="748">
      <formula>#REF!="Benzick, Sue"</formula>
    </cfRule>
    <cfRule type="expression" dxfId="342" priority="749">
      <formula>#REF!="Jenne, Richard"</formula>
    </cfRule>
    <cfRule type="expression" dxfId="341" priority="750">
      <formula>#REF!="McQueen, Jennifer"</formula>
    </cfRule>
  </conditionalFormatting>
  <conditionalFormatting sqref="K195:O195">
    <cfRule type="expression" dxfId="340" priority="744">
      <formula>#REF!="McQueen, Jennifer"</formula>
    </cfRule>
    <cfRule type="expression" dxfId="339" priority="742">
      <formula>#REF!="Benzick, Sue"</formula>
    </cfRule>
    <cfRule type="expression" dxfId="338" priority="743">
      <formula>#REF!="Jenne, Richard"</formula>
    </cfRule>
  </conditionalFormatting>
  <conditionalFormatting sqref="K208:O208">
    <cfRule type="expression" dxfId="337" priority="736">
      <formula>#REF!="Benzick, Sue"</formula>
    </cfRule>
    <cfRule type="expression" dxfId="336" priority="738">
      <formula>#REF!="McQueen, Jennifer"</formula>
    </cfRule>
    <cfRule type="expression" dxfId="335" priority="737">
      <formula>#REF!="Jenne, Richard"</formula>
    </cfRule>
  </conditionalFormatting>
  <conditionalFormatting sqref="K216:O216">
    <cfRule type="expression" dxfId="334" priority="731">
      <formula>#REF!="Jenne, Richard"</formula>
    </cfRule>
    <cfRule type="expression" dxfId="333" priority="732">
      <formula>#REF!="McQueen, Jennifer"</formula>
    </cfRule>
    <cfRule type="expression" dxfId="332" priority="730">
      <formula>#REF!="Benzick, Sue"</formula>
    </cfRule>
  </conditionalFormatting>
  <conditionalFormatting sqref="K224:O225">
    <cfRule type="expression" dxfId="331" priority="105">
      <formula>#REF!="McQueen, Jennifer"</formula>
    </cfRule>
    <cfRule type="expression" dxfId="330" priority="104">
      <formula>#REF!="Jenne, Richard"</formula>
    </cfRule>
    <cfRule type="expression" dxfId="329" priority="103">
      <formula>#REF!="Benzick, Sue"</formula>
    </cfRule>
  </conditionalFormatting>
  <conditionalFormatting sqref="K231:O231">
    <cfRule type="expression" dxfId="328" priority="719">
      <formula>#REF!="Jenne, Richard"</formula>
    </cfRule>
    <cfRule type="expression" dxfId="327" priority="718">
      <formula>#REF!="Benzick, Sue"</formula>
    </cfRule>
    <cfRule type="expression" dxfId="326" priority="720">
      <formula>#REF!="McQueen, Jennifer"</formula>
    </cfRule>
  </conditionalFormatting>
  <conditionalFormatting sqref="K234:O234">
    <cfRule type="expression" dxfId="325" priority="712">
      <formula>#REF!="Benzick, Sue"</formula>
    </cfRule>
    <cfRule type="expression" dxfId="324" priority="714">
      <formula>#REF!="McQueen, Jennifer"</formula>
    </cfRule>
    <cfRule type="expression" dxfId="323" priority="713">
      <formula>#REF!="Jenne, Richard"</formula>
    </cfRule>
  </conditionalFormatting>
  <conditionalFormatting sqref="K238:O238">
    <cfRule type="expression" dxfId="322" priority="117">
      <formula>#REF!="McQueen, Jennifer"</formula>
    </cfRule>
    <cfRule type="expression" dxfId="321" priority="116">
      <formula>#REF!="Jenne, Richard"</formula>
    </cfRule>
    <cfRule type="expression" dxfId="320" priority="115">
      <formula>#REF!="Benzick, Sue"</formula>
    </cfRule>
  </conditionalFormatting>
  <conditionalFormatting sqref="K240:O241">
    <cfRule type="expression" dxfId="319" priority="700">
      <formula>#REF!="Benzick, Sue"</formula>
    </cfRule>
    <cfRule type="expression" dxfId="318" priority="702">
      <formula>#REF!="McQueen, Jennifer"</formula>
    </cfRule>
    <cfRule type="expression" dxfId="317" priority="701">
      <formula>#REF!="Jenne, Richard"</formula>
    </cfRule>
  </conditionalFormatting>
  <conditionalFormatting sqref="K245:O245">
    <cfRule type="expression" dxfId="316" priority="696">
      <formula>#REF!="McQueen, Jennifer"</formula>
    </cfRule>
    <cfRule type="expression" dxfId="315" priority="695">
      <formula>#REF!="Jenne, Richard"</formula>
    </cfRule>
    <cfRule type="expression" dxfId="314" priority="694">
      <formula>#REF!="Benzick, Sue"</formula>
    </cfRule>
  </conditionalFormatting>
  <conditionalFormatting sqref="K251:O251">
    <cfRule type="expression" dxfId="313" priority="682">
      <formula>#REF!="Benzick, Sue"</formula>
    </cfRule>
    <cfRule type="expression" dxfId="312" priority="684">
      <formula>#REF!="McQueen, Jennifer"</formula>
    </cfRule>
    <cfRule type="expression" dxfId="311" priority="683">
      <formula>#REF!="Jenne, Richard"</formula>
    </cfRule>
  </conditionalFormatting>
  <conditionalFormatting sqref="K262:O262">
    <cfRule type="expression" dxfId="310" priority="676">
      <formula>#REF!="Benzick, Sue"</formula>
    </cfRule>
    <cfRule type="expression" dxfId="309" priority="677">
      <formula>#REF!="Jenne, Richard"</formula>
    </cfRule>
    <cfRule type="expression" dxfId="308" priority="678">
      <formula>#REF!="McQueen, Jennifer"</formula>
    </cfRule>
  </conditionalFormatting>
  <conditionalFormatting sqref="K264:O264">
    <cfRule type="expression" dxfId="307" priority="670">
      <formula>#REF!="Benzick, Sue"</formula>
    </cfRule>
    <cfRule type="expression" dxfId="306" priority="671">
      <formula>#REF!="Jenne, Richard"</formula>
    </cfRule>
    <cfRule type="expression" dxfId="305" priority="672">
      <formula>#REF!="McQueen, Jennifer"</formula>
    </cfRule>
  </conditionalFormatting>
  <conditionalFormatting sqref="K270:O271">
    <cfRule type="expression" dxfId="304" priority="91">
      <formula>#REF!="Benzick, Sue"</formula>
    </cfRule>
    <cfRule type="expression" dxfId="303" priority="92">
      <formula>#REF!="Jenne, Richard"</formula>
    </cfRule>
    <cfRule type="expression" dxfId="302" priority="93">
      <formula>#REF!="McQueen, Jennifer"</formula>
    </cfRule>
  </conditionalFormatting>
  <conditionalFormatting sqref="K274:O274">
    <cfRule type="expression" dxfId="301" priority="84">
      <formula>#REF!="McQueen, Jennifer"</formula>
    </cfRule>
    <cfRule type="expression" dxfId="300" priority="83">
      <formula>#REF!="Jenne, Richard"</formula>
    </cfRule>
    <cfRule type="expression" dxfId="299" priority="82">
      <formula>#REF!="Benzick, Sue"</formula>
    </cfRule>
  </conditionalFormatting>
  <conditionalFormatting sqref="K278:O279">
    <cfRule type="expression" dxfId="298" priority="652">
      <formula>#REF!="Benzick, Sue"</formula>
    </cfRule>
    <cfRule type="expression" dxfId="297" priority="653">
      <formula>#REF!="Jenne, Richard"</formula>
    </cfRule>
    <cfRule type="expression" dxfId="296" priority="654">
      <formula>#REF!="McQueen, Jennifer"</formula>
    </cfRule>
  </conditionalFormatting>
  <conditionalFormatting sqref="K284:O285">
    <cfRule type="expression" dxfId="295" priority="78">
      <formula>#REF!="McQueen, Jennifer"</formula>
    </cfRule>
    <cfRule type="expression" dxfId="294" priority="76">
      <formula>#REF!="Benzick, Sue"</formula>
    </cfRule>
    <cfRule type="expression" dxfId="293" priority="77">
      <formula>#REF!="Jenne, Richard"</formula>
    </cfRule>
  </conditionalFormatting>
  <conditionalFormatting sqref="K297:O297">
    <cfRule type="expression" dxfId="292" priority="648">
      <formula>#REF!="McQueen, Jennifer"</formula>
    </cfRule>
    <cfRule type="expression" dxfId="291" priority="647">
      <formula>#REF!="Jenne, Richard"</formula>
    </cfRule>
    <cfRule type="expression" dxfId="290" priority="646">
      <formula>#REF!="Benzick, Sue"</formula>
    </cfRule>
  </conditionalFormatting>
  <conditionalFormatting sqref="K302:O302">
    <cfRule type="expression" dxfId="289" priority="641">
      <formula>#REF!="Jenne, Richard"</formula>
    </cfRule>
    <cfRule type="expression" dxfId="288" priority="642">
      <formula>#REF!="McQueen, Jennifer"</formula>
    </cfRule>
    <cfRule type="expression" dxfId="287" priority="640">
      <formula>#REF!="Benzick, Sue"</formula>
    </cfRule>
  </conditionalFormatting>
  <conditionalFormatting sqref="K313:O313">
    <cfRule type="expression" dxfId="286" priority="636">
      <formula>#REF!="McQueen, Jennifer"</formula>
    </cfRule>
    <cfRule type="expression" dxfId="285" priority="635">
      <formula>#REF!="Jenne, Richard"</formula>
    </cfRule>
    <cfRule type="expression" dxfId="284" priority="634">
      <formula>#REF!="Benzick, Sue"</formula>
    </cfRule>
  </conditionalFormatting>
  <conditionalFormatting sqref="K320:O321">
    <cfRule type="expression" dxfId="283" priority="624">
      <formula>#REF!="McQueen, Jennifer"</formula>
    </cfRule>
    <cfRule type="expression" dxfId="282" priority="623">
      <formula>#REF!="Jenne, Richard"</formula>
    </cfRule>
    <cfRule type="expression" dxfId="281" priority="622">
      <formula>#REF!="Benzick, Sue"</formula>
    </cfRule>
  </conditionalFormatting>
  <conditionalFormatting sqref="K325:O325">
    <cfRule type="expression" dxfId="280" priority="618">
      <formula>#REF!="McQueen, Jennifer"</formula>
    </cfRule>
    <cfRule type="expression" dxfId="279" priority="616">
      <formula>#REF!="Benzick, Sue"</formula>
    </cfRule>
    <cfRule type="expression" dxfId="278" priority="617">
      <formula>#REF!="Jenne, Richard"</formula>
    </cfRule>
  </conditionalFormatting>
  <conditionalFormatting sqref="K328:O328">
    <cfRule type="expression" dxfId="277" priority="611">
      <formula>#REF!="Jenne, Richard"</formula>
    </cfRule>
    <cfRule type="expression" dxfId="276" priority="610">
      <formula>#REF!="Benzick, Sue"</formula>
    </cfRule>
    <cfRule type="expression" dxfId="275" priority="612">
      <formula>#REF!="McQueen, Jennifer"</formula>
    </cfRule>
  </conditionalFormatting>
  <conditionalFormatting sqref="K330:O330">
    <cfRule type="expression" dxfId="274" priority="995">
      <formula>#REF!="Jenne, Richard"</formula>
    </cfRule>
    <cfRule type="expression" dxfId="273" priority="994">
      <formula>#REF!="Benzick, Sue"</formula>
    </cfRule>
    <cfRule type="expression" dxfId="272" priority="996">
      <formula>#REF!="McQueen, Jennifer"</formula>
    </cfRule>
  </conditionalFormatting>
  <conditionalFormatting sqref="K341:O341">
    <cfRule type="expression" dxfId="271" priority="73">
      <formula>#REF!="Benzick, Sue"</formula>
    </cfRule>
    <cfRule type="expression" dxfId="270" priority="75">
      <formula>#REF!="McQueen, Jennifer"</formula>
    </cfRule>
    <cfRule type="expression" dxfId="269" priority="74">
      <formula>#REF!="Jenne, Richard"</formula>
    </cfRule>
  </conditionalFormatting>
  <conditionalFormatting sqref="L9">
    <cfRule type="expression" dxfId="268" priority="1465">
      <formula>#REF!="Benzick, Sue"</formula>
    </cfRule>
    <cfRule type="expression" dxfId="267" priority="1466">
      <formula>#REF!="Jenne, Richard"</formula>
    </cfRule>
    <cfRule type="expression" dxfId="266" priority="1467">
      <formula>#REF!="McQueen, Jennifer"</formula>
    </cfRule>
  </conditionalFormatting>
  <conditionalFormatting sqref="L127">
    <cfRule type="expression" dxfId="265" priority="605">
      <formula>#REF!="Jenne, Richard"</formula>
    </cfRule>
    <cfRule type="expression" dxfId="264" priority="606">
      <formula>#REF!="McQueen, Jennifer"</formula>
    </cfRule>
    <cfRule type="expression" dxfId="263" priority="604">
      <formula>#REF!="Benzick, Sue"</formula>
    </cfRule>
  </conditionalFormatting>
  <conditionalFormatting sqref="L136">
    <cfRule type="expression" dxfId="262" priority="600">
      <formula>#REF!="McQueen, Jennifer"</formula>
    </cfRule>
    <cfRule type="expression" dxfId="261" priority="598">
      <formula>#REF!="Benzick, Sue"</formula>
    </cfRule>
    <cfRule type="expression" dxfId="260" priority="599">
      <formula>#REF!="Jenne, Richard"</formula>
    </cfRule>
  </conditionalFormatting>
  <conditionalFormatting sqref="L143:L144">
    <cfRule type="expression" dxfId="259" priority="588">
      <formula>#REF!="McQueen, Jennifer"</formula>
    </cfRule>
    <cfRule type="expression" dxfId="258" priority="587">
      <formula>#REF!="Jenne, Richard"</formula>
    </cfRule>
    <cfRule type="expression" dxfId="257" priority="586">
      <formula>#REF!="Benzick, Sue"</formula>
    </cfRule>
  </conditionalFormatting>
  <conditionalFormatting sqref="L146">
    <cfRule type="expression" dxfId="256" priority="582">
      <formula>#REF!="McQueen, Jennifer"</formula>
    </cfRule>
    <cfRule type="expression" dxfId="255" priority="581">
      <formula>#REF!="Jenne, Richard"</formula>
    </cfRule>
    <cfRule type="expression" dxfId="254" priority="580">
      <formula>#REF!="Benzick, Sue"</formula>
    </cfRule>
  </conditionalFormatting>
  <conditionalFormatting sqref="L151">
    <cfRule type="expression" dxfId="253" priority="576">
      <formula>#REF!="McQueen, Jennifer"</formula>
    </cfRule>
    <cfRule type="expression" dxfId="252" priority="575">
      <formula>#REF!="Jenne, Richard"</formula>
    </cfRule>
    <cfRule type="expression" dxfId="251" priority="574">
      <formula>#REF!="Benzick, Sue"</formula>
    </cfRule>
  </conditionalFormatting>
  <conditionalFormatting sqref="L158:L159">
    <cfRule type="expression" dxfId="250" priority="562">
      <formula>#REF!="Benzick, Sue"</formula>
    </cfRule>
    <cfRule type="expression" dxfId="249" priority="563">
      <formula>#REF!="Jenne, Richard"</formula>
    </cfRule>
    <cfRule type="expression" dxfId="248" priority="564">
      <formula>#REF!="McQueen, Jennifer"</formula>
    </cfRule>
  </conditionalFormatting>
  <conditionalFormatting sqref="L162">
    <cfRule type="expression" dxfId="247" priority="556">
      <formula>#REF!="Benzick, Sue"</formula>
    </cfRule>
    <cfRule type="expression" dxfId="246" priority="557">
      <formula>#REF!="Jenne, Richard"</formula>
    </cfRule>
    <cfRule type="expression" dxfId="245" priority="558">
      <formula>#REF!="McQueen, Jennifer"</formula>
    </cfRule>
  </conditionalFormatting>
  <conditionalFormatting sqref="L168">
    <cfRule type="expression" dxfId="244" priority="552">
      <formula>#REF!="McQueen, Jennifer"</formula>
    </cfRule>
    <cfRule type="expression" dxfId="243" priority="550">
      <formula>#REF!="Benzick, Sue"</formula>
    </cfRule>
    <cfRule type="expression" dxfId="242" priority="551">
      <formula>#REF!="Jenne, Richard"</formula>
    </cfRule>
  </conditionalFormatting>
  <conditionalFormatting sqref="L179">
    <cfRule type="expression" dxfId="241" priority="545">
      <formula>#REF!="Jenne, Richard"</formula>
    </cfRule>
    <cfRule type="expression" dxfId="240" priority="546">
      <formula>#REF!="McQueen, Jennifer"</formula>
    </cfRule>
    <cfRule type="expression" dxfId="239" priority="544">
      <formula>#REF!="Benzick, Sue"</formula>
    </cfRule>
  </conditionalFormatting>
  <conditionalFormatting sqref="L181">
    <cfRule type="expression" dxfId="238" priority="538">
      <formula>#REF!="Benzick, Sue"</formula>
    </cfRule>
    <cfRule type="expression" dxfId="237" priority="539">
      <formula>#REF!="Jenne, Richard"</formula>
    </cfRule>
    <cfRule type="expression" dxfId="236" priority="540">
      <formula>#REF!="McQueen, Jennifer"</formula>
    </cfRule>
  </conditionalFormatting>
  <conditionalFormatting sqref="L184">
    <cfRule type="expression" dxfId="235" priority="533">
      <formula>#REF!="Jenne, Richard"</formula>
    </cfRule>
    <cfRule type="expression" dxfId="234" priority="532">
      <formula>#REF!="Benzick, Sue"</formula>
    </cfRule>
    <cfRule type="expression" dxfId="233" priority="534">
      <formula>#REF!="McQueen, Jennifer"</formula>
    </cfRule>
  </conditionalFormatting>
  <conditionalFormatting sqref="L189">
    <cfRule type="expression" dxfId="232" priority="526">
      <formula>#REF!="Benzick, Sue"</formula>
    </cfRule>
    <cfRule type="expression" dxfId="231" priority="527">
      <formula>#REF!="Jenne, Richard"</formula>
    </cfRule>
    <cfRule type="expression" dxfId="230" priority="528">
      <formula>#REF!="McQueen, Jennifer"</formula>
    </cfRule>
  </conditionalFormatting>
  <conditionalFormatting sqref="L191">
    <cfRule type="expression" dxfId="229" priority="522">
      <formula>#REF!="McQueen, Jennifer"</formula>
    </cfRule>
    <cfRule type="expression" dxfId="228" priority="520">
      <formula>#REF!="Benzick, Sue"</formula>
    </cfRule>
    <cfRule type="expression" dxfId="227" priority="521">
      <formula>#REF!="Jenne, Richard"</formula>
    </cfRule>
  </conditionalFormatting>
  <conditionalFormatting sqref="L199:L206">
    <cfRule type="expression" dxfId="226" priority="109">
      <formula>#REF!="Benzick, Sue"</formula>
    </cfRule>
    <cfRule type="expression" dxfId="225" priority="110">
      <formula>#REF!="Jenne, Richard"</formula>
    </cfRule>
    <cfRule type="expression" dxfId="224" priority="111">
      <formula>#REF!="McQueen, Jennifer"</formula>
    </cfRule>
  </conditionalFormatting>
  <conditionalFormatting sqref="L209:L210">
    <cfRule type="expression" dxfId="223" priority="467">
      <formula>#REF!="Jenne, Richard"</formula>
    </cfRule>
    <cfRule type="expression" dxfId="222" priority="466">
      <formula>#REF!="Benzick, Sue"</formula>
    </cfRule>
    <cfRule type="expression" dxfId="221" priority="468">
      <formula>#REF!="McQueen, Jennifer"</formula>
    </cfRule>
  </conditionalFormatting>
  <conditionalFormatting sqref="L214">
    <cfRule type="expression" dxfId="220" priority="460">
      <formula>#REF!="Benzick, Sue"</formula>
    </cfRule>
    <cfRule type="expression" dxfId="219" priority="461">
      <formula>#REF!="Jenne, Richard"</formula>
    </cfRule>
    <cfRule type="expression" dxfId="218" priority="462">
      <formula>#REF!="McQueen, Jennifer"</formula>
    </cfRule>
  </conditionalFormatting>
  <conditionalFormatting sqref="L217:L218">
    <cfRule type="expression" dxfId="217" priority="449">
      <formula>#REF!="Jenne, Richard"</formula>
    </cfRule>
    <cfRule type="expression" dxfId="216" priority="450">
      <formula>#REF!="McQueen, Jennifer"</formula>
    </cfRule>
    <cfRule type="expression" dxfId="215" priority="448">
      <formula>#REF!="Benzick, Sue"</formula>
    </cfRule>
  </conditionalFormatting>
  <conditionalFormatting sqref="L222">
    <cfRule type="expression" dxfId="214" priority="443">
      <formula>#REF!="Jenne, Richard"</formula>
    </cfRule>
    <cfRule type="expression" dxfId="213" priority="442">
      <formula>#REF!="Benzick, Sue"</formula>
    </cfRule>
    <cfRule type="expression" dxfId="212" priority="444">
      <formula>#REF!="McQueen, Jennifer"</formula>
    </cfRule>
  </conditionalFormatting>
  <conditionalFormatting sqref="L226">
    <cfRule type="expression" dxfId="211" priority="436">
      <formula>#REF!="Benzick, Sue"</formula>
    </cfRule>
    <cfRule type="expression" dxfId="210" priority="438">
      <formula>#REF!="McQueen, Jennifer"</formula>
    </cfRule>
    <cfRule type="expression" dxfId="209" priority="437">
      <formula>#REF!="Jenne, Richard"</formula>
    </cfRule>
  </conditionalFormatting>
  <conditionalFormatting sqref="L235:L236">
    <cfRule type="expression" dxfId="208" priority="424">
      <formula>#REF!="Benzick, Sue"</formula>
    </cfRule>
    <cfRule type="expression" dxfId="207" priority="425">
      <formula>#REF!="Jenne, Richard"</formula>
    </cfRule>
    <cfRule type="expression" dxfId="206" priority="426">
      <formula>#REF!="McQueen, Jennifer"</formula>
    </cfRule>
  </conditionalFormatting>
  <conditionalFormatting sqref="L239">
    <cfRule type="expression" dxfId="205" priority="419">
      <formula>#REF!="Jenne, Richard"</formula>
    </cfRule>
    <cfRule type="expression" dxfId="204" priority="418">
      <formula>#REF!="Benzick, Sue"</formula>
    </cfRule>
    <cfRule type="expression" dxfId="203" priority="420">
      <formula>#REF!="McQueen, Jennifer"</formula>
    </cfRule>
  </conditionalFormatting>
  <conditionalFormatting sqref="L244">
    <cfRule type="expression" dxfId="202" priority="414">
      <formula>#REF!="McQueen, Jennifer"</formula>
    </cfRule>
    <cfRule type="expression" dxfId="201" priority="413">
      <formula>#REF!="Jenne, Richard"</formula>
    </cfRule>
    <cfRule type="expression" dxfId="200" priority="412">
      <formula>#REF!="Benzick, Sue"</formula>
    </cfRule>
  </conditionalFormatting>
  <conditionalFormatting sqref="L246:L247">
    <cfRule type="expression" dxfId="199" priority="401">
      <formula>#REF!="Jenne, Richard"</formula>
    </cfRule>
    <cfRule type="expression" dxfId="198" priority="400">
      <formula>#REF!="Benzick, Sue"</formula>
    </cfRule>
    <cfRule type="expression" dxfId="197" priority="402">
      <formula>#REF!="McQueen, Jennifer"</formula>
    </cfRule>
  </conditionalFormatting>
  <conditionalFormatting sqref="L249">
    <cfRule type="expression" dxfId="196" priority="396">
      <formula>#REF!="McQueen, Jennifer"</formula>
    </cfRule>
    <cfRule type="expression" dxfId="195" priority="395">
      <formula>#REF!="Jenne, Richard"</formula>
    </cfRule>
    <cfRule type="expression" dxfId="194" priority="394">
      <formula>#REF!="Benzick, Sue"</formula>
    </cfRule>
  </conditionalFormatting>
  <conditionalFormatting sqref="L252:L253">
    <cfRule type="expression" dxfId="193" priority="382">
      <formula>#REF!="Benzick, Sue"</formula>
    </cfRule>
    <cfRule type="expression" dxfId="192" priority="383">
      <formula>#REF!="Jenne, Richard"</formula>
    </cfRule>
    <cfRule type="expression" dxfId="191" priority="384">
      <formula>#REF!="McQueen, Jennifer"</formula>
    </cfRule>
  </conditionalFormatting>
  <conditionalFormatting sqref="L258">
    <cfRule type="expression" dxfId="190" priority="376">
      <formula>#REF!="Benzick, Sue"</formula>
    </cfRule>
    <cfRule type="expression" dxfId="189" priority="377">
      <formula>#REF!="Jenne, Richard"</formula>
    </cfRule>
    <cfRule type="expression" dxfId="188" priority="378">
      <formula>#REF!="McQueen, Jennifer"</formula>
    </cfRule>
  </conditionalFormatting>
  <conditionalFormatting sqref="L273">
    <cfRule type="expression" dxfId="187" priority="358">
      <formula>#REF!="Benzick, Sue"</formula>
    </cfRule>
    <cfRule type="expression" dxfId="186" priority="359">
      <formula>#REF!="Jenne, Richard"</formula>
    </cfRule>
    <cfRule type="expression" dxfId="185" priority="360">
      <formula>#REF!="McQueen, Jennifer"</formula>
    </cfRule>
  </conditionalFormatting>
  <conditionalFormatting sqref="L275">
    <cfRule type="expression" dxfId="184" priority="354">
      <formula>#REF!="McQueen, Jennifer"</formula>
    </cfRule>
    <cfRule type="expression" dxfId="183" priority="352">
      <formula>#REF!="Benzick, Sue"</formula>
    </cfRule>
    <cfRule type="expression" dxfId="182" priority="353">
      <formula>#REF!="Jenne, Richard"</formula>
    </cfRule>
  </conditionalFormatting>
  <conditionalFormatting sqref="L283">
    <cfRule type="expression" dxfId="181" priority="347">
      <formula>#REF!="Jenne, Richard"</formula>
    </cfRule>
    <cfRule type="expression" dxfId="180" priority="346">
      <formula>#REF!="Benzick, Sue"</formula>
    </cfRule>
    <cfRule type="expression" dxfId="179" priority="348">
      <formula>#REF!="McQueen, Jennifer"</formula>
    </cfRule>
  </conditionalFormatting>
  <conditionalFormatting sqref="L287">
    <cfRule type="expression" dxfId="178" priority="342">
      <formula>#REF!="McQueen, Jennifer"</formula>
    </cfRule>
    <cfRule type="expression" dxfId="177" priority="341">
      <formula>#REF!="Jenne, Richard"</formula>
    </cfRule>
    <cfRule type="expression" dxfId="176" priority="340">
      <formula>#REF!="Benzick, Sue"</formula>
    </cfRule>
  </conditionalFormatting>
  <conditionalFormatting sqref="L291">
    <cfRule type="expression" dxfId="175" priority="336">
      <formula>#REF!="McQueen, Jennifer"</formula>
    </cfRule>
    <cfRule type="expression" dxfId="174" priority="335">
      <formula>#REF!="Jenne, Richard"</formula>
    </cfRule>
    <cfRule type="expression" dxfId="173" priority="334">
      <formula>#REF!="Benzick, Sue"</formula>
    </cfRule>
  </conditionalFormatting>
  <conditionalFormatting sqref="L294">
    <cfRule type="expression" dxfId="172" priority="85">
      <formula>#REF!="Benzick, Sue"</formula>
    </cfRule>
    <cfRule type="expression" dxfId="171" priority="87">
      <formula>#REF!="McQueen, Jennifer"</formula>
    </cfRule>
    <cfRule type="expression" dxfId="170" priority="86">
      <formula>#REF!="Jenne, Richard"</formula>
    </cfRule>
  </conditionalFormatting>
  <conditionalFormatting sqref="L296">
    <cfRule type="expression" dxfId="169" priority="330">
      <formula>#REF!="McQueen, Jennifer"</formula>
    </cfRule>
    <cfRule type="expression" dxfId="168" priority="329">
      <formula>#REF!="Jenne, Richard"</formula>
    </cfRule>
    <cfRule type="expression" dxfId="167" priority="328">
      <formula>#REF!="Benzick, Sue"</formula>
    </cfRule>
  </conditionalFormatting>
  <conditionalFormatting sqref="L299:L300">
    <cfRule type="expression" dxfId="166" priority="318">
      <formula>#REF!="McQueen, Jennifer"</formula>
    </cfRule>
    <cfRule type="expression" dxfId="165" priority="317">
      <formula>#REF!="Jenne, Richard"</formula>
    </cfRule>
    <cfRule type="expression" dxfId="164" priority="316">
      <formula>#REF!="Benzick, Sue"</formula>
    </cfRule>
  </conditionalFormatting>
  <conditionalFormatting sqref="L307">
    <cfRule type="expression" dxfId="163" priority="311">
      <formula>#REF!="Jenne, Richard"</formula>
    </cfRule>
    <cfRule type="expression" dxfId="162" priority="312">
      <formula>#REF!="McQueen, Jennifer"</formula>
    </cfRule>
    <cfRule type="expression" dxfId="161" priority="310">
      <formula>#REF!="Benzick, Sue"</formula>
    </cfRule>
  </conditionalFormatting>
  <conditionalFormatting sqref="L314">
    <cfRule type="expression" dxfId="160" priority="306">
      <formula>#REF!="McQueen, Jennifer"</formula>
    </cfRule>
    <cfRule type="expression" dxfId="159" priority="304">
      <formula>#REF!="Benzick, Sue"</formula>
    </cfRule>
    <cfRule type="expression" dxfId="158" priority="305">
      <formula>#REF!="Jenne, Richard"</formula>
    </cfRule>
  </conditionalFormatting>
  <conditionalFormatting sqref="L316">
    <cfRule type="expression" dxfId="157" priority="299">
      <formula>#REF!="Jenne, Richard"</formula>
    </cfRule>
    <cfRule type="expression" dxfId="156" priority="298">
      <formula>#REF!="Benzick, Sue"</formula>
    </cfRule>
    <cfRule type="expression" dxfId="155" priority="300">
      <formula>#REF!="McQueen, Jennifer"</formula>
    </cfRule>
  </conditionalFormatting>
  <conditionalFormatting sqref="L329">
    <cfRule type="expression" dxfId="154" priority="288">
      <formula>#REF!="McQueen, Jennifer"</formula>
    </cfRule>
    <cfRule type="expression" dxfId="153" priority="287">
      <formula>#REF!="Jenne, Richard"</formula>
    </cfRule>
    <cfRule type="expression" dxfId="152" priority="286">
      <formula>#REF!="Benzick, Sue"</formula>
    </cfRule>
  </conditionalFormatting>
  <conditionalFormatting sqref="L331:L332">
    <cfRule type="expression" dxfId="151" priority="276">
      <formula>#REF!="McQueen, Jennifer"</formula>
    </cfRule>
    <cfRule type="expression" dxfId="150" priority="275">
      <formula>#REF!="Jenne, Richard"</formula>
    </cfRule>
    <cfRule type="expression" dxfId="149" priority="274">
      <formula>#REF!="Benzick, Sue"</formula>
    </cfRule>
  </conditionalFormatting>
  <conditionalFormatting sqref="L361">
    <cfRule type="expression" dxfId="148" priority="268">
      <formula>#REF!="Benzick, Sue"</formula>
    </cfRule>
    <cfRule type="expression" dxfId="147" priority="269">
      <formula>#REF!="Jenne, Richard"</formula>
    </cfRule>
    <cfRule type="expression" dxfId="146" priority="270">
      <formula>#REF!="McQueen, Jennifer"</formula>
    </cfRule>
  </conditionalFormatting>
  <conditionalFormatting sqref="L38:O38">
    <cfRule type="expression" dxfId="145" priority="988">
      <formula>#REF!="Benzick, Sue"</formula>
    </cfRule>
    <cfRule type="expression" dxfId="144" priority="990">
      <formula>#REF!="McQueen, Jennifer"</formula>
    </cfRule>
    <cfRule type="expression" dxfId="143" priority="989">
      <formula>#REF!="Jenne, Richard"</formula>
    </cfRule>
  </conditionalFormatting>
  <conditionalFormatting sqref="L41:O41">
    <cfRule type="expression" dxfId="142" priority="979">
      <formula>#REF!="Benzick, Sue"</formula>
    </cfRule>
    <cfRule type="expression" dxfId="141" priority="980">
      <formula>#REF!="Jenne, Richard"</formula>
    </cfRule>
    <cfRule type="expression" dxfId="140" priority="981">
      <formula>#REF!="McQueen, Jennifer"</formula>
    </cfRule>
  </conditionalFormatting>
  <conditionalFormatting sqref="L46:O46">
    <cfRule type="expression" dxfId="139" priority="970">
      <formula>#REF!="Benzick, Sue"</formula>
    </cfRule>
    <cfRule type="expression" dxfId="138" priority="971">
      <formula>#REF!="Jenne, Richard"</formula>
    </cfRule>
    <cfRule type="expression" dxfId="137" priority="972">
      <formula>#REF!="McQueen, Jennifer"</formula>
    </cfRule>
  </conditionalFormatting>
  <conditionalFormatting sqref="L48:O48">
    <cfRule type="expression" dxfId="136" priority="963">
      <formula>#REF!="McQueen, Jennifer"</formula>
    </cfRule>
    <cfRule type="expression" dxfId="135" priority="962">
      <formula>#REF!="Jenne, Richard"</formula>
    </cfRule>
    <cfRule type="expression" dxfId="134" priority="961">
      <formula>#REF!="Benzick, Sue"</formula>
    </cfRule>
  </conditionalFormatting>
  <conditionalFormatting sqref="L52:O52">
    <cfRule type="expression" dxfId="133" priority="952">
      <formula>#REF!="Benzick, Sue"</formula>
    </cfRule>
    <cfRule type="expression" dxfId="132" priority="954">
      <formula>#REF!="McQueen, Jennifer"</formula>
    </cfRule>
    <cfRule type="expression" dxfId="131" priority="953">
      <formula>#REF!="Jenne, Richard"</formula>
    </cfRule>
  </conditionalFormatting>
  <conditionalFormatting sqref="L57:O57">
    <cfRule type="expression" dxfId="130" priority="945">
      <formula>#REF!="McQueen, Jennifer"</formula>
    </cfRule>
    <cfRule type="expression" dxfId="129" priority="944">
      <formula>#REF!="Jenne, Richard"</formula>
    </cfRule>
    <cfRule type="expression" dxfId="128" priority="943">
      <formula>#REF!="Benzick, Sue"</formula>
    </cfRule>
  </conditionalFormatting>
  <conditionalFormatting sqref="L62:O62">
    <cfRule type="expression" dxfId="127" priority="934">
      <formula>#REF!="Benzick, Sue"</formula>
    </cfRule>
    <cfRule type="expression" dxfId="126" priority="935">
      <formula>#REF!="Jenne, Richard"</formula>
    </cfRule>
    <cfRule type="expression" dxfId="125" priority="936">
      <formula>#REF!="McQueen, Jennifer"</formula>
    </cfRule>
  </conditionalFormatting>
  <conditionalFormatting sqref="L66:O66">
    <cfRule type="expression" dxfId="124" priority="926">
      <formula>#REF!="Jenne, Richard"</formula>
    </cfRule>
    <cfRule type="expression" dxfId="123" priority="925">
      <formula>#REF!="Benzick, Sue"</formula>
    </cfRule>
    <cfRule type="expression" dxfId="122" priority="927">
      <formula>#REF!="McQueen, Jennifer"</formula>
    </cfRule>
  </conditionalFormatting>
  <conditionalFormatting sqref="L69:O69">
    <cfRule type="expression" dxfId="121" priority="917">
      <formula>#REF!="Jenne, Richard"</formula>
    </cfRule>
    <cfRule type="expression" dxfId="120" priority="918">
      <formula>#REF!="McQueen, Jennifer"</formula>
    </cfRule>
    <cfRule type="expression" dxfId="119" priority="916">
      <formula>#REF!="Benzick, Sue"</formula>
    </cfRule>
  </conditionalFormatting>
  <conditionalFormatting sqref="L79:O79">
    <cfRule type="expression" dxfId="118" priority="908">
      <formula>#REF!="Jenne, Richard"</formula>
    </cfRule>
    <cfRule type="expression" dxfId="117" priority="907">
      <formula>#REF!="Benzick, Sue"</formula>
    </cfRule>
    <cfRule type="expression" dxfId="116" priority="909">
      <formula>#REF!="McQueen, Jennifer"</formula>
    </cfRule>
  </conditionalFormatting>
  <conditionalFormatting sqref="L84:O84">
    <cfRule type="expression" dxfId="115" priority="900">
      <formula>#REF!="McQueen, Jennifer"</formula>
    </cfRule>
    <cfRule type="expression" dxfId="114" priority="899">
      <formula>#REF!="Jenne, Richard"</formula>
    </cfRule>
    <cfRule type="expression" dxfId="113" priority="898">
      <formula>#REF!="Benzick, Sue"</formula>
    </cfRule>
  </conditionalFormatting>
  <conditionalFormatting sqref="L88:O88">
    <cfRule type="expression" dxfId="112" priority="889">
      <formula>#REF!="Benzick, Sue"</formula>
    </cfRule>
    <cfRule type="expression" dxfId="111" priority="890">
      <formula>#REF!="Jenne, Richard"</formula>
    </cfRule>
    <cfRule type="expression" dxfId="110" priority="891">
      <formula>#REF!="McQueen, Jennifer"</formula>
    </cfRule>
  </conditionalFormatting>
  <conditionalFormatting sqref="L91:O91">
    <cfRule type="expression" dxfId="109" priority="880">
      <formula>#REF!="Benzick, Sue"</formula>
    </cfRule>
    <cfRule type="expression" dxfId="108" priority="881">
      <formula>#REF!="Jenne, Richard"</formula>
    </cfRule>
    <cfRule type="expression" dxfId="107" priority="882">
      <formula>#REF!="McQueen, Jennifer"</formula>
    </cfRule>
  </conditionalFormatting>
  <conditionalFormatting sqref="L93:O93">
    <cfRule type="expression" dxfId="106" priority="873">
      <formula>#REF!="McQueen, Jennifer"</formula>
    </cfRule>
    <cfRule type="expression" dxfId="105" priority="872">
      <formula>#REF!="Jenne, Richard"</formula>
    </cfRule>
    <cfRule type="expression" dxfId="104" priority="871">
      <formula>#REF!="Benzick, Sue"</formula>
    </cfRule>
  </conditionalFormatting>
  <conditionalFormatting sqref="L96:O98">
    <cfRule type="expression" dxfId="103" priority="845">
      <formula>#REF!="Jenne, Richard"</formula>
    </cfRule>
    <cfRule type="expression" dxfId="102" priority="846">
      <formula>#REF!="McQueen, Jennifer"</formula>
    </cfRule>
    <cfRule type="expression" dxfId="101" priority="844">
      <formula>#REF!="Benzick, Sue"</formula>
    </cfRule>
  </conditionalFormatting>
  <conditionalFormatting sqref="L100:O100">
    <cfRule type="expression" dxfId="100" priority="835">
      <formula>#REF!="Benzick, Sue"</formula>
    </cfRule>
    <cfRule type="expression" dxfId="99" priority="836">
      <formula>#REF!="Jenne, Richard"</formula>
    </cfRule>
    <cfRule type="expression" dxfId="98" priority="837">
      <formula>#REF!="McQueen, Jennifer"</formula>
    </cfRule>
  </conditionalFormatting>
  <conditionalFormatting sqref="L111:O111">
    <cfRule type="expression" dxfId="97" priority="141">
      <formula>#REF!="McQueen, Jennifer"</formula>
    </cfRule>
    <cfRule type="expression" dxfId="96" priority="140">
      <formula>#REF!="Jenne, Richard"</formula>
    </cfRule>
    <cfRule type="expression" dxfId="95" priority="139">
      <formula>#REF!="Benzick, Sue"</formula>
    </cfRule>
  </conditionalFormatting>
  <conditionalFormatting sqref="L114:O114">
    <cfRule type="expression" dxfId="94" priority="828">
      <formula>#REF!="McQueen, Jennifer"</formula>
    </cfRule>
    <cfRule type="expression" dxfId="93" priority="827">
      <formula>#REF!="Jenne, Richard"</formula>
    </cfRule>
    <cfRule type="expression" dxfId="92" priority="826">
      <formula>#REF!="Benzick, Sue"</formula>
    </cfRule>
  </conditionalFormatting>
  <conditionalFormatting sqref="L121:O121">
    <cfRule type="expression" dxfId="91" priority="819">
      <formula>#REF!="McQueen, Jennifer"</formula>
    </cfRule>
    <cfRule type="expression" dxfId="90" priority="817">
      <formula>#REF!="Benzick, Sue"</formula>
    </cfRule>
    <cfRule type="expression" dxfId="89" priority="818">
      <formula>#REF!="Jenne, Richard"</formula>
    </cfRule>
  </conditionalFormatting>
  <conditionalFormatting sqref="L128:O128">
    <cfRule type="expression" dxfId="88" priority="808">
      <formula>#REF!="Benzick, Sue"</formula>
    </cfRule>
    <cfRule type="expression" dxfId="87" priority="809">
      <formula>#REF!="Jenne, Richard"</formula>
    </cfRule>
    <cfRule type="expression" dxfId="86" priority="810">
      <formula>#REF!="McQueen, Jennifer"</formula>
    </cfRule>
  </conditionalFormatting>
  <conditionalFormatting sqref="M9">
    <cfRule type="expression" dxfId="85" priority="1474">
      <formula>#REF!="Benzick, Sue"</formula>
    </cfRule>
    <cfRule type="expression" dxfId="84" priority="1476">
      <formula>#REF!="McQueen, Jennifer"</formula>
    </cfRule>
    <cfRule type="expression" dxfId="83" priority="1475">
      <formula>#REF!="Jenne, Richard"</formula>
    </cfRule>
  </conditionalFormatting>
  <conditionalFormatting sqref="M142">
    <cfRule type="expression" dxfId="82" priority="265">
      <formula>#REF!="Benzick, Sue"</formula>
    </cfRule>
    <cfRule type="expression" dxfId="81" priority="267">
      <formula>#REF!="McQueen, Jennifer"</formula>
    </cfRule>
    <cfRule type="expression" dxfId="80" priority="266">
      <formula>#REF!="Jenne, Richard"</formula>
    </cfRule>
  </conditionalFormatting>
  <conditionalFormatting sqref="M145 M148">
    <cfRule type="expression" dxfId="79" priority="253">
      <formula>#REF!="Benzick, Sue"</formula>
    </cfRule>
    <cfRule type="expression" dxfId="78" priority="254">
      <formula>#REF!="Jenne, Richard"</formula>
    </cfRule>
    <cfRule type="expression" dxfId="77" priority="255">
      <formula>#REF!="McQueen, Jennifer"</formula>
    </cfRule>
  </conditionalFormatting>
  <conditionalFormatting sqref="M154">
    <cfRule type="expression" dxfId="76" priority="249">
      <formula>#REF!="McQueen, Jennifer"</formula>
    </cfRule>
    <cfRule type="expression" dxfId="75" priority="247">
      <formula>#REF!="Benzick, Sue"</formula>
    </cfRule>
    <cfRule type="expression" dxfId="74" priority="248">
      <formula>#REF!="Jenne, Richard"</formula>
    </cfRule>
  </conditionalFormatting>
  <conditionalFormatting sqref="M163">
    <cfRule type="expression" dxfId="73" priority="241">
      <formula>#REF!="Benzick, Sue"</formula>
    </cfRule>
    <cfRule type="expression" dxfId="72" priority="242">
      <formula>#REF!="Jenne, Richard"</formula>
    </cfRule>
    <cfRule type="expression" dxfId="71" priority="243">
      <formula>#REF!="McQueen, Jennifer"</formula>
    </cfRule>
  </conditionalFormatting>
  <conditionalFormatting sqref="M196">
    <cfRule type="expression" dxfId="70" priority="235">
      <formula>#REF!="Benzick, Sue"</formula>
    </cfRule>
    <cfRule type="expression" dxfId="69" priority="237">
      <formula>#REF!="McQueen, Jennifer"</formula>
    </cfRule>
    <cfRule type="expression" dxfId="68" priority="236">
      <formula>#REF!="Jenne, Richard"</formula>
    </cfRule>
  </conditionalFormatting>
  <conditionalFormatting sqref="M213">
    <cfRule type="expression" dxfId="67" priority="230">
      <formula>#REF!="Jenne, Richard"</formula>
    </cfRule>
    <cfRule type="expression" dxfId="66" priority="231">
      <formula>#REF!="McQueen, Jennifer"</formula>
    </cfRule>
    <cfRule type="expression" dxfId="65" priority="229">
      <formula>#REF!="Benzick, Sue"</formula>
    </cfRule>
  </conditionalFormatting>
  <conditionalFormatting sqref="M215">
    <cfRule type="expression" dxfId="64" priority="225">
      <formula>#REF!="McQueen, Jennifer"</formula>
    </cfRule>
    <cfRule type="expression" dxfId="63" priority="224">
      <formula>#REF!="Jenne, Richard"</formula>
    </cfRule>
    <cfRule type="expression" dxfId="62" priority="223">
      <formula>#REF!="Benzick, Sue"</formula>
    </cfRule>
  </conditionalFormatting>
  <conditionalFormatting sqref="M219">
    <cfRule type="expression" dxfId="61" priority="219">
      <formula>#REF!="McQueen, Jennifer"</formula>
    </cfRule>
    <cfRule type="expression" dxfId="60" priority="218">
      <formula>#REF!="Jenne, Richard"</formula>
    </cfRule>
    <cfRule type="expression" dxfId="59" priority="217">
      <formula>#REF!="Benzick, Sue"</formula>
    </cfRule>
  </conditionalFormatting>
  <conditionalFormatting sqref="M227:M228">
    <cfRule type="expression" dxfId="58" priority="206">
      <formula>#REF!="Jenne, Richard"</formula>
    </cfRule>
    <cfRule type="expression" dxfId="57" priority="205">
      <formula>#REF!="Benzick, Sue"</formula>
    </cfRule>
    <cfRule type="expression" dxfId="56" priority="207">
      <formula>#REF!="McQueen, Jennifer"</formula>
    </cfRule>
  </conditionalFormatting>
  <conditionalFormatting sqref="M248">
    <cfRule type="expression" dxfId="55" priority="102">
      <formula>#REF!="McQueen, Jennifer"</formula>
    </cfRule>
    <cfRule type="expression" dxfId="54" priority="101">
      <formula>#REF!="Jenne, Richard"</formula>
    </cfRule>
    <cfRule type="expression" dxfId="53" priority="100">
      <formula>#REF!="Benzick, Sue"</formula>
    </cfRule>
  </conditionalFormatting>
  <conditionalFormatting sqref="M272">
    <cfRule type="expression" dxfId="52" priority="199">
      <formula>#REF!="Benzick, Sue"</formula>
    </cfRule>
    <cfRule type="expression" dxfId="51" priority="200">
      <formula>#REF!="Jenne, Richard"</formula>
    </cfRule>
    <cfRule type="expression" dxfId="50" priority="201">
      <formula>#REF!="McQueen, Jennifer"</formula>
    </cfRule>
  </conditionalFormatting>
  <conditionalFormatting sqref="M280">
    <cfRule type="expression" dxfId="49" priority="194">
      <formula>#REF!="Jenne, Richard"</formula>
    </cfRule>
    <cfRule type="expression" dxfId="48" priority="195">
      <formula>#REF!="McQueen, Jennifer"</formula>
    </cfRule>
    <cfRule type="expression" dxfId="47" priority="193">
      <formula>#REF!="Benzick, Sue"</formula>
    </cfRule>
  </conditionalFormatting>
  <conditionalFormatting sqref="M298">
    <cfRule type="expression" dxfId="46" priority="189">
      <formula>#REF!="McQueen, Jennifer"</formula>
    </cfRule>
    <cfRule type="expression" dxfId="45" priority="187">
      <formula>#REF!="Benzick, Sue"</formula>
    </cfRule>
    <cfRule type="expression" dxfId="44" priority="188">
      <formula>#REF!="Jenne, Richard"</formula>
    </cfRule>
  </conditionalFormatting>
  <conditionalFormatting sqref="M304:M305">
    <cfRule type="expression" dxfId="43" priority="177">
      <formula>#REF!="McQueen, Jennifer"</formula>
    </cfRule>
    <cfRule type="expression" dxfId="42" priority="176">
      <formula>#REF!="Jenne, Richard"</formula>
    </cfRule>
    <cfRule type="expression" dxfId="41" priority="175">
      <formula>#REF!="Benzick, Sue"</formula>
    </cfRule>
  </conditionalFormatting>
  <conditionalFormatting sqref="M309">
    <cfRule type="expression" dxfId="40" priority="171">
      <formula>#REF!="McQueen, Jennifer"</formula>
    </cfRule>
    <cfRule type="expression" dxfId="39" priority="170">
      <formula>#REF!="Jenne, Richard"</formula>
    </cfRule>
    <cfRule type="expression" dxfId="38" priority="169">
      <formula>#REF!="Benzick, Sue"</formula>
    </cfRule>
  </conditionalFormatting>
  <conditionalFormatting sqref="M319">
    <cfRule type="expression" dxfId="37" priority="164">
      <formula>#REF!="Jenne, Richard"</formula>
    </cfRule>
    <cfRule type="expression" dxfId="36" priority="163">
      <formula>#REF!="Benzick, Sue"</formula>
    </cfRule>
    <cfRule type="expression" dxfId="35" priority="165">
      <formula>#REF!="McQueen, Jennifer"</formula>
    </cfRule>
  </conditionalFormatting>
  <conditionalFormatting sqref="M326">
    <cfRule type="expression" dxfId="34" priority="157">
      <formula>#REF!="Benzick, Sue"</formula>
    </cfRule>
    <cfRule type="expression" dxfId="33" priority="158">
      <formula>#REF!="Jenne, Richard"</formula>
    </cfRule>
    <cfRule type="expression" dxfId="32" priority="159">
      <formula>#REF!="McQueen, Jennifer"</formula>
    </cfRule>
  </conditionalFormatting>
  <conditionalFormatting sqref="M333">
    <cfRule type="expression" dxfId="31" priority="151">
      <formula>#REF!="Benzick, Sue"</formula>
    </cfRule>
    <cfRule type="expression" dxfId="30" priority="152">
      <formula>#REF!="Jenne, Richard"</formula>
    </cfRule>
    <cfRule type="expression" dxfId="29" priority="153">
      <formula>#REF!="McQueen, Jennifer"</formula>
    </cfRule>
  </conditionalFormatting>
  <conditionalFormatting sqref="M366 M369">
    <cfRule type="expression" dxfId="28" priority="70">
      <formula>#REF!="Benzick, Sue"</formula>
    </cfRule>
    <cfRule type="expression" dxfId="27" priority="71">
      <formula>#REF!="Jenne, Richard"</formula>
    </cfRule>
    <cfRule type="expression" dxfId="26" priority="72">
      <formula>#REF!="McQueen, Jennifer"</formula>
    </cfRule>
  </conditionalFormatting>
  <conditionalFormatting sqref="M373">
    <cfRule type="expression" dxfId="25" priority="52">
      <formula>#REF!="Benzick, Sue"</formula>
    </cfRule>
    <cfRule type="expression" dxfId="24" priority="53">
      <formula>#REF!="Jenne, Richard"</formula>
    </cfRule>
    <cfRule type="expression" dxfId="23" priority="54">
      <formula>#REF!="McQueen, Jennifer"</formula>
    </cfRule>
  </conditionalFormatting>
  <conditionalFormatting sqref="N9">
    <cfRule type="expression" dxfId="22" priority="1747">
      <formula>#REF!="Benzick, Sue"</formula>
    </cfRule>
    <cfRule type="expression" dxfId="21" priority="1748">
      <formula>#REF!="Jenne, Richard"</formula>
    </cfRule>
    <cfRule type="expression" dxfId="20" priority="1749">
      <formula>#REF!="McQueen, Jennifer"</formula>
    </cfRule>
  </conditionalFormatting>
  <conditionalFormatting sqref="O9">
    <cfRule type="expression" dxfId="19" priority="1490">
      <formula>#REF!="Jenne, Richard"</formula>
    </cfRule>
    <cfRule type="expression" dxfId="18" priority="1489">
      <formula>#REF!="Benzick, Sue"</formula>
    </cfRule>
    <cfRule type="expression" dxfId="17" priority="1491">
      <formula>#REF!="McQueen, Jennifer"</formula>
    </cfRule>
  </conditionalFormatting>
  <conditionalFormatting sqref="O365">
    <cfRule type="expression" dxfId="16" priority="43">
      <formula>#REF!="Benzick, Sue"</formula>
    </cfRule>
    <cfRule type="expression" dxfId="15" priority="44">
      <formula>#REF!="Jenne, Richard"</formula>
    </cfRule>
    <cfRule type="expression" dxfId="14" priority="45">
      <formula>#REF!="McQueen, Jennifer"</formula>
    </cfRule>
  </conditionalFormatting>
  <conditionalFormatting sqref="O370:O372">
    <cfRule type="expression" dxfId="13" priority="47">
      <formula>#REF!="Jenne, Richard"</formula>
    </cfRule>
    <cfRule type="expression" dxfId="12" priority="46">
      <formula>#REF!="Benzick, Sue"</formula>
    </cfRule>
    <cfRule type="expression" dxfId="11" priority="48">
      <formula>#REF!="McQueen, Jennifer"</formula>
    </cfRule>
  </conditionalFormatting>
  <conditionalFormatting sqref="AC9">
    <cfRule type="expression" dxfId="10" priority="2039">
      <formula>$AD9="Jenne, Richard"</formula>
    </cfRule>
    <cfRule type="expression" dxfId="9" priority="2040">
      <formula>$AD9="McQueen, Jennifer"</formula>
    </cfRule>
    <cfRule type="expression" dxfId="8" priority="2038">
      <formula>$AD9="Benzick, Sue"</formula>
    </cfRule>
  </conditionalFormatting>
  <conditionalFormatting sqref="AE362:AE393">
    <cfRule type="expression" dxfId="7" priority="69">
      <formula>$AD362="McQueen, Jennifer"</formula>
    </cfRule>
    <cfRule type="expression" dxfId="6" priority="68">
      <formula>$AD362="Jenne, Richard"</formula>
    </cfRule>
    <cfRule type="expression" dxfId="5" priority="67">
      <formula>$AD362="Benzick, Sue"</formula>
    </cfRule>
  </conditionalFormatting>
  <dataValidations count="2">
    <dataValidation type="list" allowBlank="1" showInputMessage="1" showErrorMessage="1" sqref="B365:B403" xr:uid="{E7B3D03A-86BE-45AB-9C3C-94797C21EACD}">
      <formula1>Class</formula1>
    </dataValidation>
    <dataValidation allowBlank="1" showInputMessage="1" showErrorMessage="1" sqref="Y4:Y511" xr:uid="{ED4AD39B-C783-4960-8982-3BB525E4EE46}"/>
  </dataValidations>
  <printOptions horizontalCentered="1" verticalCentered="1"/>
  <pageMargins left="0.7" right="0.7" top="0.75" bottom="0.75" header="0.3" footer="0.3"/>
  <pageSetup scale="27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200FED7A-2BC5-4543-B46D-EB32DB279385}">
          <x14:formula1>
            <xm:f>'TSD-Data'!$A$2:$A$70</xm:f>
          </x14:formula1>
          <xm:sqref>B521:B791 B513 A514 B515:B519 B4:B364</xm:sqref>
        </x14:dataValidation>
        <x14:dataValidation type="list" allowBlank="1" showInputMessage="1" showErrorMessage="1" xr:uid="{3D96C2E9-D26B-4448-9DD1-C886A0E7507E}">
          <x14:formula1>
            <xm:f>'TSD-Data'!$H$2:$H$40</xm:f>
          </x14:formula1>
          <xm:sqref>P513:P735</xm:sqref>
        </x14:dataValidation>
        <x14:dataValidation type="list" allowBlank="1" showInputMessage="1" showErrorMessage="1" xr:uid="{2F44F4D6-1EF2-4A82-9A4B-D11E22B362B1}">
          <x14:formula1>
            <xm:f>'TSD-Data'!$L$2:$L$125</xm:f>
          </x14:formula1>
          <xm:sqref>E513:E976</xm:sqref>
        </x14:dataValidation>
        <x14:dataValidation type="list" allowBlank="1" showInputMessage="1" showErrorMessage="1" xr:uid="{21A8CB0A-0701-49FB-9231-461E2A3D61EF}">
          <x14:formula1>
            <xm:f>'TSD-Data'!$L$2:$L$102</xm:f>
          </x14:formula1>
          <xm:sqref>E4:E361</xm:sqref>
        </x14:dataValidation>
        <x14:dataValidation type="list" allowBlank="1" showInputMessage="1" showErrorMessage="1" xr:uid="{E8739DE3-1DDB-4BFA-A4BF-6F762D6DE875}">
          <x14:formula1>
            <xm:f>'TSD-Data'!$N$2:$N$10</xm:f>
          </x14:formula1>
          <xm:sqref>AD4:AD361</xm:sqref>
        </x14:dataValidation>
        <x14:dataValidation type="list" allowBlank="1" showInputMessage="1" showErrorMessage="1" xr:uid="{8D2A897B-76C7-4C0C-AEE5-BE307534D234}">
          <x14:formula1>
            <xm:f>'TSD-Data'!$Q$2:$Q$13</xm:f>
          </x14:formula1>
          <xm:sqref>R4:R511</xm:sqref>
        </x14:dataValidation>
        <x14:dataValidation type="list" allowBlank="1" showInputMessage="1" showErrorMessage="1" xr:uid="{0B8D2458-99B2-4AD6-9126-AB158E5F80EE}">
          <x14:formula1>
            <xm:f>'TSD-Data'!$H$2:$H$45</xm:f>
          </x14:formula1>
          <xm:sqref>P4:Q511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rgb="FFFF0000"/>
  </sheetPr>
  <dimension ref="A1:Q103"/>
  <sheetViews>
    <sheetView topLeftCell="A19" zoomScale="70" zoomScaleNormal="70" workbookViewId="0">
      <selection activeCell="A63" sqref="A63"/>
    </sheetView>
  </sheetViews>
  <sheetFormatPr defaultColWidth="8.7109375" defaultRowHeight="15" x14ac:dyDescent="0.25"/>
  <cols>
    <col min="1" max="1" width="70.28515625" bestFit="1" customWidth="1"/>
    <col min="2" max="2" width="11.28515625" bestFit="1" customWidth="1"/>
    <col min="3" max="3" width="8.7109375" style="1"/>
    <col min="8" max="8" width="14.42578125" bestFit="1" customWidth="1"/>
    <col min="9" max="10" width="12" bestFit="1" customWidth="1"/>
    <col min="11" max="11" width="13.28515625" bestFit="1" customWidth="1"/>
    <col min="12" max="12" width="24.7109375" bestFit="1" customWidth="1"/>
    <col min="13" max="13" width="24" bestFit="1" customWidth="1"/>
    <col min="14" max="14" width="18.28515625" bestFit="1" customWidth="1"/>
  </cols>
  <sheetData>
    <row r="1" spans="1:17" x14ac:dyDescent="0.25">
      <c r="A1" s="404" t="s">
        <v>188</v>
      </c>
      <c r="B1" s="404" t="s">
        <v>73</v>
      </c>
      <c r="C1" s="405" t="s">
        <v>74</v>
      </c>
      <c r="D1" s="380" t="s">
        <v>201</v>
      </c>
      <c r="E1" s="380" t="s">
        <v>217</v>
      </c>
      <c r="F1" s="380" t="s">
        <v>218</v>
      </c>
      <c r="G1" s="380" t="s">
        <v>219</v>
      </c>
      <c r="H1" s="7" t="s">
        <v>220</v>
      </c>
      <c r="I1" s="7" t="s">
        <v>221</v>
      </c>
      <c r="J1" s="7" t="s">
        <v>222</v>
      </c>
      <c r="K1" s="7" t="s">
        <v>72</v>
      </c>
      <c r="L1" s="7" t="s">
        <v>156</v>
      </c>
      <c r="M1" s="7" t="s">
        <v>223</v>
      </c>
      <c r="N1" s="7" t="s">
        <v>210</v>
      </c>
      <c r="Q1" s="7" t="s">
        <v>224</v>
      </c>
    </row>
    <row r="2" spans="1:17" x14ac:dyDescent="0.25">
      <c r="A2" s="380" t="s">
        <v>225</v>
      </c>
      <c r="B2" s="380" t="s">
        <v>226</v>
      </c>
      <c r="C2" s="406" t="s">
        <v>227</v>
      </c>
      <c r="D2" s="380">
        <v>20</v>
      </c>
      <c r="E2" s="380">
        <v>2</v>
      </c>
      <c r="F2" s="380">
        <v>16</v>
      </c>
      <c r="G2" s="380" t="s">
        <v>228</v>
      </c>
      <c r="H2" s="134" t="s">
        <v>229</v>
      </c>
      <c r="K2" t="s">
        <v>86</v>
      </c>
      <c r="L2" t="s">
        <v>230</v>
      </c>
      <c r="N2" t="s">
        <v>231</v>
      </c>
      <c r="Q2" s="135" t="s">
        <v>232</v>
      </c>
    </row>
    <row r="3" spans="1:17" x14ac:dyDescent="0.25">
      <c r="A3" s="380" t="s">
        <v>15</v>
      </c>
      <c r="B3" s="380" t="s">
        <v>87</v>
      </c>
      <c r="C3" s="406" t="s">
        <v>88</v>
      </c>
      <c r="D3" s="380">
        <v>45</v>
      </c>
      <c r="E3" s="380">
        <v>2</v>
      </c>
      <c r="F3" s="380">
        <v>16</v>
      </c>
      <c r="G3" s="380" t="s">
        <v>228</v>
      </c>
      <c r="H3" s="335" t="s">
        <v>233</v>
      </c>
      <c r="K3" t="s">
        <v>7</v>
      </c>
      <c r="L3" t="s">
        <v>234</v>
      </c>
      <c r="N3" t="s">
        <v>235</v>
      </c>
      <c r="Q3" s="137" t="s">
        <v>236</v>
      </c>
    </row>
    <row r="4" spans="1:17" x14ac:dyDescent="0.25">
      <c r="A4" s="380" t="s">
        <v>89</v>
      </c>
      <c r="B4" s="380" t="s">
        <v>91</v>
      </c>
      <c r="C4" s="406">
        <v>3878</v>
      </c>
      <c r="D4" s="380">
        <v>25</v>
      </c>
      <c r="E4" s="380">
        <v>3</v>
      </c>
      <c r="F4" s="380">
        <v>24</v>
      </c>
      <c r="G4" s="380" t="s">
        <v>237</v>
      </c>
      <c r="H4" s="134" t="s">
        <v>238</v>
      </c>
      <c r="L4" t="s">
        <v>239</v>
      </c>
      <c r="N4" t="s">
        <v>240</v>
      </c>
      <c r="Q4" s="134" t="s">
        <v>229</v>
      </c>
    </row>
    <row r="5" spans="1:17" x14ac:dyDescent="0.25">
      <c r="A5" s="380" t="s">
        <v>42</v>
      </c>
      <c r="B5" s="380" t="s">
        <v>92</v>
      </c>
      <c r="C5" s="406">
        <v>3879</v>
      </c>
      <c r="D5" s="380">
        <v>30</v>
      </c>
      <c r="E5" s="380">
        <v>0.5</v>
      </c>
      <c r="F5" s="380">
        <v>4</v>
      </c>
      <c r="G5" s="380" t="s">
        <v>237</v>
      </c>
      <c r="H5" s="134" t="s">
        <v>241</v>
      </c>
      <c r="L5" t="s">
        <v>242</v>
      </c>
      <c r="N5" t="s">
        <v>243</v>
      </c>
      <c r="Q5" s="135" t="s">
        <v>244</v>
      </c>
    </row>
    <row r="6" spans="1:17" x14ac:dyDescent="0.25">
      <c r="A6" s="380" t="s">
        <v>93</v>
      </c>
      <c r="B6" s="380" t="s">
        <v>94</v>
      </c>
      <c r="C6" s="406">
        <v>3882</v>
      </c>
      <c r="D6" s="380">
        <v>25</v>
      </c>
      <c r="E6" s="380">
        <v>2</v>
      </c>
      <c r="F6" s="380">
        <v>16</v>
      </c>
      <c r="G6" s="380" t="s">
        <v>237</v>
      </c>
      <c r="H6" s="134" t="s">
        <v>245</v>
      </c>
      <c r="L6" t="s">
        <v>246</v>
      </c>
      <c r="N6" t="s">
        <v>247</v>
      </c>
      <c r="Q6" s="135" t="s">
        <v>248</v>
      </c>
    </row>
    <row r="7" spans="1:17" x14ac:dyDescent="0.25">
      <c r="A7" s="380" t="s">
        <v>44</v>
      </c>
      <c r="B7" s="380" t="s">
        <v>95</v>
      </c>
      <c r="C7" s="406">
        <v>3888</v>
      </c>
      <c r="D7" s="380">
        <v>30</v>
      </c>
      <c r="E7" s="380">
        <v>0.5</v>
      </c>
      <c r="F7" s="380">
        <v>4</v>
      </c>
      <c r="G7" s="380" t="s">
        <v>237</v>
      </c>
      <c r="H7" s="134" t="s">
        <v>249</v>
      </c>
      <c r="L7" t="s">
        <v>250</v>
      </c>
      <c r="N7" t="s">
        <v>251</v>
      </c>
      <c r="Q7" s="135" t="s">
        <v>252</v>
      </c>
    </row>
    <row r="8" spans="1:17" x14ac:dyDescent="0.25">
      <c r="A8" s="380" t="s">
        <v>45</v>
      </c>
      <c r="B8" s="380" t="s">
        <v>96</v>
      </c>
      <c r="C8" s="406" t="s">
        <v>97</v>
      </c>
      <c r="D8" s="380">
        <v>25</v>
      </c>
      <c r="E8" s="380">
        <v>5</v>
      </c>
      <c r="F8" s="380">
        <v>40</v>
      </c>
      <c r="G8" s="380" t="s">
        <v>237</v>
      </c>
      <c r="H8" s="134" t="s">
        <v>253</v>
      </c>
      <c r="L8" t="s">
        <v>254</v>
      </c>
      <c r="N8" t="s">
        <v>255</v>
      </c>
      <c r="Q8" s="135" t="s">
        <v>256</v>
      </c>
    </row>
    <row r="9" spans="1:17" x14ac:dyDescent="0.25">
      <c r="A9" s="380" t="s">
        <v>46</v>
      </c>
      <c r="B9" s="380" t="s">
        <v>98</v>
      </c>
      <c r="C9" s="406" t="s">
        <v>99</v>
      </c>
      <c r="D9" s="380">
        <v>30</v>
      </c>
      <c r="E9" s="380">
        <v>1</v>
      </c>
      <c r="F9" s="380">
        <v>8</v>
      </c>
      <c r="G9" s="380" t="s">
        <v>237</v>
      </c>
      <c r="H9" s="135" t="s">
        <v>229</v>
      </c>
      <c r="L9" t="s">
        <v>257</v>
      </c>
      <c r="N9" t="s">
        <v>258</v>
      </c>
      <c r="Q9" s="135" t="s">
        <v>259</v>
      </c>
    </row>
    <row r="10" spans="1:17" x14ac:dyDescent="0.25">
      <c r="A10" s="380" t="s">
        <v>260</v>
      </c>
      <c r="B10" s="380" t="s">
        <v>261</v>
      </c>
      <c r="C10" s="406" t="s">
        <v>262</v>
      </c>
      <c r="D10" s="380">
        <v>30</v>
      </c>
      <c r="E10" s="380">
        <v>3</v>
      </c>
      <c r="F10" s="380">
        <v>24</v>
      </c>
      <c r="G10" s="380" t="s">
        <v>263</v>
      </c>
      <c r="H10" s="135" t="s">
        <v>244</v>
      </c>
      <c r="L10" t="s">
        <v>257</v>
      </c>
      <c r="N10" t="s">
        <v>264</v>
      </c>
      <c r="Q10" s="135" t="s">
        <v>265</v>
      </c>
    </row>
    <row r="11" spans="1:17" x14ac:dyDescent="0.25">
      <c r="A11" s="380" t="s">
        <v>37</v>
      </c>
      <c r="B11" s="380" t="s">
        <v>101</v>
      </c>
      <c r="C11" s="406" t="s">
        <v>102</v>
      </c>
      <c r="D11" s="380">
        <v>45</v>
      </c>
      <c r="E11" s="380">
        <v>3</v>
      </c>
      <c r="F11" s="380">
        <v>24</v>
      </c>
      <c r="G11" s="380" t="s">
        <v>263</v>
      </c>
      <c r="H11" s="135" t="s">
        <v>232</v>
      </c>
      <c r="L11" t="s">
        <v>157</v>
      </c>
      <c r="Q11" s="135" t="s">
        <v>266</v>
      </c>
    </row>
    <row r="12" spans="1:17" x14ac:dyDescent="0.25">
      <c r="A12" s="380" t="s">
        <v>47</v>
      </c>
      <c r="B12" s="380" t="s">
        <v>106</v>
      </c>
      <c r="C12" s="406" t="s">
        <v>107</v>
      </c>
      <c r="D12" s="380">
        <v>25</v>
      </c>
      <c r="E12" s="380">
        <v>5</v>
      </c>
      <c r="F12" s="380">
        <v>40</v>
      </c>
      <c r="G12" s="380" t="s">
        <v>237</v>
      </c>
      <c r="H12" s="135" t="s">
        <v>248</v>
      </c>
      <c r="L12" t="s">
        <v>267</v>
      </c>
      <c r="Q12" s="135" t="s">
        <v>268</v>
      </c>
    </row>
    <row r="13" spans="1:17" x14ac:dyDescent="0.25">
      <c r="A13" s="380" t="s">
        <v>56</v>
      </c>
      <c r="B13" s="380" t="s">
        <v>108</v>
      </c>
      <c r="C13" s="406" t="s">
        <v>109</v>
      </c>
      <c r="D13" s="380">
        <v>35</v>
      </c>
      <c r="E13" s="380">
        <v>5</v>
      </c>
      <c r="F13" s="380">
        <v>30</v>
      </c>
      <c r="G13" s="380" t="s">
        <v>263</v>
      </c>
      <c r="H13" s="135" t="s">
        <v>252</v>
      </c>
      <c r="L13" t="s">
        <v>158</v>
      </c>
    </row>
    <row r="14" spans="1:17" x14ac:dyDescent="0.25">
      <c r="A14" s="380" t="s">
        <v>269</v>
      </c>
      <c r="B14" s="380" t="s">
        <v>270</v>
      </c>
      <c r="C14" s="406" t="s">
        <v>271</v>
      </c>
      <c r="D14" s="380">
        <v>30</v>
      </c>
      <c r="E14" s="380">
        <v>4</v>
      </c>
      <c r="F14" s="380">
        <v>32</v>
      </c>
      <c r="G14" s="380" t="s">
        <v>263</v>
      </c>
      <c r="L14" t="s">
        <v>159</v>
      </c>
    </row>
    <row r="15" spans="1:17" x14ac:dyDescent="0.25">
      <c r="A15" s="380" t="s">
        <v>48</v>
      </c>
      <c r="B15" s="380" t="s">
        <v>110</v>
      </c>
      <c r="C15" s="406" t="s">
        <v>111</v>
      </c>
      <c r="D15" s="380">
        <v>25</v>
      </c>
      <c r="E15" s="380">
        <v>2</v>
      </c>
      <c r="F15" s="380">
        <v>16</v>
      </c>
      <c r="G15" s="380" t="s">
        <v>237</v>
      </c>
      <c r="H15" s="136"/>
      <c r="L15" t="s">
        <v>160</v>
      </c>
    </row>
    <row r="16" spans="1:17" x14ac:dyDescent="0.25">
      <c r="A16" s="380" t="s">
        <v>17</v>
      </c>
      <c r="B16" s="380" t="s">
        <v>112</v>
      </c>
      <c r="C16" s="406">
        <v>3682</v>
      </c>
      <c r="D16" s="380">
        <v>40</v>
      </c>
      <c r="E16" s="380">
        <v>5</v>
      </c>
      <c r="F16" s="380">
        <v>40</v>
      </c>
      <c r="G16" s="380" t="s">
        <v>228</v>
      </c>
      <c r="H16" s="136" t="s">
        <v>272</v>
      </c>
      <c r="L16" t="s">
        <v>273</v>
      </c>
    </row>
    <row r="17" spans="1:12" x14ac:dyDescent="0.25">
      <c r="A17" s="380" t="s">
        <v>28</v>
      </c>
      <c r="B17" s="380" t="s">
        <v>113</v>
      </c>
      <c r="C17" s="406">
        <v>3683</v>
      </c>
      <c r="D17" s="380">
        <v>40</v>
      </c>
      <c r="E17" s="380">
        <v>3</v>
      </c>
      <c r="F17" s="380">
        <v>24</v>
      </c>
      <c r="G17" s="380" t="s">
        <v>228</v>
      </c>
      <c r="H17" s="136" t="s">
        <v>274</v>
      </c>
      <c r="L17" t="s">
        <v>275</v>
      </c>
    </row>
    <row r="18" spans="1:12" x14ac:dyDescent="0.25">
      <c r="A18" s="380" t="s">
        <v>57</v>
      </c>
      <c r="B18" s="380" t="s">
        <v>114</v>
      </c>
      <c r="C18" s="406" t="s">
        <v>115</v>
      </c>
      <c r="D18" s="380">
        <v>45</v>
      </c>
      <c r="E18" s="380">
        <v>3</v>
      </c>
      <c r="F18" s="380">
        <v>24</v>
      </c>
      <c r="G18" s="380" t="s">
        <v>263</v>
      </c>
      <c r="H18" s="136" t="s">
        <v>256</v>
      </c>
      <c r="L18" t="s">
        <v>276</v>
      </c>
    </row>
    <row r="19" spans="1:12" x14ac:dyDescent="0.25">
      <c r="A19" s="380" t="s">
        <v>55</v>
      </c>
      <c r="B19" s="380" t="s">
        <v>104</v>
      </c>
      <c r="C19" s="406" t="s">
        <v>105</v>
      </c>
      <c r="D19" s="380">
        <v>25</v>
      </c>
      <c r="E19" s="380">
        <v>5</v>
      </c>
      <c r="F19" s="380">
        <v>40</v>
      </c>
      <c r="G19" s="380" t="s">
        <v>263</v>
      </c>
      <c r="H19" s="136" t="s">
        <v>277</v>
      </c>
      <c r="L19" t="s">
        <v>278</v>
      </c>
    </row>
    <row r="20" spans="1:12" x14ac:dyDescent="0.25">
      <c r="A20" s="380" t="s">
        <v>279</v>
      </c>
      <c r="B20" s="380" t="s">
        <v>104</v>
      </c>
      <c r="C20" s="406" t="s">
        <v>105</v>
      </c>
      <c r="D20" s="380">
        <v>25</v>
      </c>
      <c r="E20" s="380">
        <v>5</v>
      </c>
      <c r="F20" s="380">
        <v>40</v>
      </c>
      <c r="G20" s="380" t="s">
        <v>263</v>
      </c>
      <c r="H20" s="136" t="s">
        <v>280</v>
      </c>
      <c r="L20" t="s">
        <v>281</v>
      </c>
    </row>
    <row r="21" spans="1:12" x14ac:dyDescent="0.25">
      <c r="A21" s="380" t="s">
        <v>58</v>
      </c>
      <c r="B21" s="380" t="s">
        <v>282</v>
      </c>
      <c r="C21" s="406" t="s">
        <v>117</v>
      </c>
      <c r="D21" s="380">
        <v>30</v>
      </c>
      <c r="E21" s="380">
        <v>4</v>
      </c>
      <c r="F21" s="380">
        <v>32</v>
      </c>
      <c r="G21" s="380" t="s">
        <v>263</v>
      </c>
      <c r="H21" s="136" t="s">
        <v>283</v>
      </c>
      <c r="L21" t="s">
        <v>284</v>
      </c>
    </row>
    <row r="22" spans="1:12" x14ac:dyDescent="0.25">
      <c r="A22" s="380" t="s">
        <v>38</v>
      </c>
      <c r="B22" s="380" t="s">
        <v>118</v>
      </c>
      <c r="C22" s="406" t="s">
        <v>119</v>
      </c>
      <c r="D22" s="380">
        <v>45</v>
      </c>
      <c r="E22" s="380">
        <v>4</v>
      </c>
      <c r="F22" s="380">
        <v>30</v>
      </c>
      <c r="G22" s="380" t="s">
        <v>263</v>
      </c>
      <c r="H22" s="136" t="s">
        <v>285</v>
      </c>
      <c r="L22" t="s">
        <v>161</v>
      </c>
    </row>
    <row r="23" spans="1:12" x14ac:dyDescent="0.25">
      <c r="A23" s="380" t="s">
        <v>286</v>
      </c>
      <c r="B23" s="380" t="s">
        <v>287</v>
      </c>
      <c r="C23" s="406" t="s">
        <v>288</v>
      </c>
      <c r="D23" s="380">
        <v>30</v>
      </c>
      <c r="E23" s="380">
        <v>3</v>
      </c>
      <c r="F23" s="380">
        <v>24</v>
      </c>
      <c r="G23" s="380" t="s">
        <v>237</v>
      </c>
      <c r="H23" s="136" t="s">
        <v>289</v>
      </c>
      <c r="L23" t="s">
        <v>86</v>
      </c>
    </row>
    <row r="24" spans="1:12" x14ac:dyDescent="0.25">
      <c r="A24" s="380" t="s">
        <v>120</v>
      </c>
      <c r="B24" s="380" t="s">
        <v>121</v>
      </c>
      <c r="C24" s="406" t="s">
        <v>122</v>
      </c>
      <c r="D24" s="380">
        <v>45</v>
      </c>
      <c r="E24" s="380">
        <v>3</v>
      </c>
      <c r="F24" s="380">
        <v>24</v>
      </c>
      <c r="G24" s="380" t="s">
        <v>237</v>
      </c>
      <c r="L24" t="s">
        <v>290</v>
      </c>
    </row>
    <row r="25" spans="1:12" x14ac:dyDescent="0.25">
      <c r="A25" s="380" t="s">
        <v>29</v>
      </c>
      <c r="B25" s="380" t="s">
        <v>123</v>
      </c>
      <c r="C25" s="407" t="s">
        <v>124</v>
      </c>
      <c r="D25" s="380">
        <v>25</v>
      </c>
      <c r="E25" s="380">
        <v>3</v>
      </c>
      <c r="F25" s="380">
        <v>24</v>
      </c>
      <c r="G25" s="380" t="s">
        <v>228</v>
      </c>
      <c r="L25" t="s">
        <v>291</v>
      </c>
    </row>
    <row r="26" spans="1:12" x14ac:dyDescent="0.25">
      <c r="A26" s="380" t="s">
        <v>31</v>
      </c>
      <c r="B26" s="380" t="s">
        <v>125</v>
      </c>
      <c r="C26" s="406" t="s">
        <v>126</v>
      </c>
      <c r="D26" s="380">
        <v>30</v>
      </c>
      <c r="E26" s="380">
        <v>1</v>
      </c>
      <c r="F26" s="380">
        <v>8</v>
      </c>
      <c r="G26" s="380" t="s">
        <v>228</v>
      </c>
      <c r="H26" s="137" t="s">
        <v>292</v>
      </c>
      <c r="L26" t="s">
        <v>162</v>
      </c>
    </row>
    <row r="27" spans="1:12" x14ac:dyDescent="0.25">
      <c r="A27" s="380" t="s">
        <v>32</v>
      </c>
      <c r="B27" s="380" t="s">
        <v>127</v>
      </c>
      <c r="C27" s="406" t="s">
        <v>128</v>
      </c>
      <c r="D27" s="380">
        <v>30</v>
      </c>
      <c r="E27" s="380">
        <v>2</v>
      </c>
      <c r="F27" s="380">
        <v>16</v>
      </c>
      <c r="G27" s="380" t="s">
        <v>228</v>
      </c>
      <c r="H27" s="137" t="s">
        <v>293</v>
      </c>
      <c r="L27" t="s">
        <v>294</v>
      </c>
    </row>
    <row r="28" spans="1:12" x14ac:dyDescent="0.25">
      <c r="A28" s="380" t="s">
        <v>33</v>
      </c>
      <c r="B28" s="380" t="s">
        <v>129</v>
      </c>
      <c r="C28" s="406" t="s">
        <v>130</v>
      </c>
      <c r="D28" s="380">
        <v>30</v>
      </c>
      <c r="E28" s="380">
        <v>1</v>
      </c>
      <c r="F28" s="380">
        <v>8</v>
      </c>
      <c r="G28" s="380" t="s">
        <v>228</v>
      </c>
      <c r="H28" s="137" t="s">
        <v>295</v>
      </c>
      <c r="L28" t="s">
        <v>163</v>
      </c>
    </row>
    <row r="29" spans="1:12" x14ac:dyDescent="0.25">
      <c r="A29" s="380" t="s">
        <v>34</v>
      </c>
      <c r="B29" s="380" t="s">
        <v>131</v>
      </c>
      <c r="C29" s="406" t="s">
        <v>132</v>
      </c>
      <c r="D29" s="380">
        <v>30</v>
      </c>
      <c r="E29" s="380">
        <v>1</v>
      </c>
      <c r="F29" s="380">
        <v>8</v>
      </c>
      <c r="G29" s="380" t="s">
        <v>228</v>
      </c>
      <c r="H29" s="137" t="s">
        <v>238</v>
      </c>
      <c r="L29" t="s">
        <v>296</v>
      </c>
    </row>
    <row r="30" spans="1:12" x14ac:dyDescent="0.25">
      <c r="A30" s="380" t="s">
        <v>49</v>
      </c>
      <c r="B30" s="380" t="s">
        <v>133</v>
      </c>
      <c r="C30" s="406">
        <v>5891</v>
      </c>
      <c r="D30" s="380">
        <v>25</v>
      </c>
      <c r="E30" s="380">
        <v>3</v>
      </c>
      <c r="F30" s="380">
        <v>24</v>
      </c>
      <c r="G30" s="380" t="s">
        <v>237</v>
      </c>
      <c r="H30" s="137" t="s">
        <v>297</v>
      </c>
      <c r="L30" t="s">
        <v>298</v>
      </c>
    </row>
    <row r="31" spans="1:12" x14ac:dyDescent="0.25">
      <c r="A31" s="380" t="s">
        <v>50</v>
      </c>
      <c r="B31" s="380" t="s">
        <v>134</v>
      </c>
      <c r="C31" s="406" t="s">
        <v>135</v>
      </c>
      <c r="D31" s="380">
        <v>45</v>
      </c>
      <c r="E31" s="380">
        <v>3</v>
      </c>
      <c r="F31" s="380">
        <v>24</v>
      </c>
      <c r="G31" s="380" t="s">
        <v>237</v>
      </c>
      <c r="H31" s="137" t="s">
        <v>232</v>
      </c>
      <c r="L31" t="s">
        <v>181</v>
      </c>
    </row>
    <row r="32" spans="1:12" x14ac:dyDescent="0.25">
      <c r="A32" s="380" t="s">
        <v>51</v>
      </c>
      <c r="B32" s="380" t="s">
        <v>136</v>
      </c>
      <c r="C32" s="406" t="s">
        <v>137</v>
      </c>
      <c r="D32" s="380">
        <v>45</v>
      </c>
      <c r="E32" s="380">
        <v>4</v>
      </c>
      <c r="F32" s="380">
        <v>32</v>
      </c>
      <c r="G32" s="380" t="s">
        <v>237</v>
      </c>
      <c r="H32" s="137" t="s">
        <v>299</v>
      </c>
      <c r="L32" t="s">
        <v>300</v>
      </c>
    </row>
    <row r="33" spans="1:12" x14ac:dyDescent="0.25">
      <c r="A33" s="380" t="s">
        <v>301</v>
      </c>
      <c r="B33" s="380" t="s">
        <v>302</v>
      </c>
      <c r="C33" s="406" t="s">
        <v>303</v>
      </c>
      <c r="D33" s="380">
        <v>30</v>
      </c>
      <c r="E33" s="380">
        <v>4</v>
      </c>
      <c r="F33" s="380">
        <v>32</v>
      </c>
      <c r="G33" s="380" t="s">
        <v>237</v>
      </c>
      <c r="H33" s="137" t="s">
        <v>304</v>
      </c>
      <c r="L33" t="s">
        <v>305</v>
      </c>
    </row>
    <row r="34" spans="1:12" x14ac:dyDescent="0.25">
      <c r="A34" s="380" t="s">
        <v>59</v>
      </c>
      <c r="B34" s="380" t="s">
        <v>138</v>
      </c>
      <c r="C34" s="406" t="s">
        <v>139</v>
      </c>
      <c r="D34" s="380">
        <v>45</v>
      </c>
      <c r="E34" s="380">
        <v>4</v>
      </c>
      <c r="F34" s="380">
        <v>32</v>
      </c>
      <c r="G34" s="380" t="s">
        <v>263</v>
      </c>
      <c r="H34" s="137" t="s">
        <v>306</v>
      </c>
      <c r="L34" t="s">
        <v>164</v>
      </c>
    </row>
    <row r="35" spans="1:12" x14ac:dyDescent="0.25">
      <c r="A35" s="380" t="s">
        <v>307</v>
      </c>
      <c r="B35" s="380" t="s">
        <v>308</v>
      </c>
      <c r="C35" s="406" t="s">
        <v>309</v>
      </c>
      <c r="D35" s="380">
        <v>30</v>
      </c>
      <c r="E35" s="380">
        <v>4</v>
      </c>
      <c r="F35" s="380">
        <v>32</v>
      </c>
      <c r="G35" s="380" t="s">
        <v>263</v>
      </c>
      <c r="H35" s="137" t="s">
        <v>310</v>
      </c>
      <c r="L35" t="s">
        <v>165</v>
      </c>
    </row>
    <row r="36" spans="1:12" x14ac:dyDescent="0.25">
      <c r="A36" s="380" t="s">
        <v>60</v>
      </c>
      <c r="B36" s="380" t="s">
        <v>140</v>
      </c>
      <c r="C36" s="406" t="s">
        <v>141</v>
      </c>
      <c r="D36" s="380">
        <v>30</v>
      </c>
      <c r="E36" s="380">
        <v>4</v>
      </c>
      <c r="F36" s="380">
        <v>32</v>
      </c>
      <c r="G36" s="380" t="s">
        <v>263</v>
      </c>
      <c r="H36" s="334" t="s">
        <v>311</v>
      </c>
      <c r="L36" t="s">
        <v>312</v>
      </c>
    </row>
    <row r="37" spans="1:12" x14ac:dyDescent="0.25">
      <c r="A37" s="380" t="s">
        <v>313</v>
      </c>
      <c r="B37" s="380" t="s">
        <v>142</v>
      </c>
      <c r="C37" s="406">
        <v>1228</v>
      </c>
      <c r="D37" s="380">
        <v>30</v>
      </c>
      <c r="E37" s="380">
        <v>4</v>
      </c>
      <c r="F37" s="380">
        <v>32</v>
      </c>
      <c r="G37" s="380" t="s">
        <v>263</v>
      </c>
      <c r="H37" t="s">
        <v>236</v>
      </c>
      <c r="L37" t="s">
        <v>314</v>
      </c>
    </row>
    <row r="38" spans="1:12" x14ac:dyDescent="0.25">
      <c r="A38" s="380" t="s">
        <v>61</v>
      </c>
      <c r="B38" s="380" t="s">
        <v>142</v>
      </c>
      <c r="C38" s="406">
        <v>1228</v>
      </c>
      <c r="D38" s="380">
        <v>45</v>
      </c>
      <c r="E38" s="380">
        <v>4</v>
      </c>
      <c r="F38" s="380">
        <v>32</v>
      </c>
      <c r="G38" s="380" t="s">
        <v>263</v>
      </c>
      <c r="H38" s="137" t="s">
        <v>315</v>
      </c>
      <c r="L38" t="s">
        <v>316</v>
      </c>
    </row>
    <row r="39" spans="1:12" x14ac:dyDescent="0.25">
      <c r="A39" s="380" t="s">
        <v>317</v>
      </c>
      <c r="B39" s="380" t="s">
        <v>318</v>
      </c>
      <c r="C39" s="406" t="s">
        <v>319</v>
      </c>
      <c r="D39" s="380">
        <v>30</v>
      </c>
      <c r="E39" s="380">
        <v>0</v>
      </c>
      <c r="F39" s="380"/>
      <c r="G39" s="380" t="s">
        <v>263</v>
      </c>
      <c r="H39" s="137" t="s">
        <v>320</v>
      </c>
      <c r="L39" t="s">
        <v>321</v>
      </c>
    </row>
    <row r="40" spans="1:12" x14ac:dyDescent="0.25">
      <c r="A40" s="380" t="s">
        <v>52</v>
      </c>
      <c r="B40" s="380" t="s">
        <v>143</v>
      </c>
      <c r="C40" s="406">
        <v>3555</v>
      </c>
      <c r="D40" s="380">
        <v>45</v>
      </c>
      <c r="E40" s="380">
        <v>4</v>
      </c>
      <c r="F40" s="380">
        <v>32</v>
      </c>
      <c r="G40" s="380" t="s">
        <v>237</v>
      </c>
      <c r="H40" s="137" t="s">
        <v>322</v>
      </c>
      <c r="L40" t="s">
        <v>166</v>
      </c>
    </row>
    <row r="41" spans="1:12" x14ac:dyDescent="0.25">
      <c r="A41" s="380" t="s">
        <v>465</v>
      </c>
      <c r="B41" s="380" t="s">
        <v>236</v>
      </c>
      <c r="C41" s="406" t="s">
        <v>236</v>
      </c>
      <c r="D41" s="380" t="s">
        <v>236</v>
      </c>
      <c r="E41" s="380" t="s">
        <v>236</v>
      </c>
      <c r="F41" s="380" t="s">
        <v>236</v>
      </c>
      <c r="G41" s="380" t="s">
        <v>237</v>
      </c>
      <c r="H41" s="335" t="s">
        <v>323</v>
      </c>
      <c r="L41" t="s">
        <v>324</v>
      </c>
    </row>
    <row r="42" spans="1:12" x14ac:dyDescent="0.25">
      <c r="A42" s="380" t="s">
        <v>35</v>
      </c>
      <c r="B42" s="380" t="s">
        <v>144</v>
      </c>
      <c r="C42" s="406" t="s">
        <v>145</v>
      </c>
      <c r="D42" s="380">
        <v>30</v>
      </c>
      <c r="E42" s="380">
        <v>1</v>
      </c>
      <c r="F42" s="380">
        <v>8</v>
      </c>
      <c r="G42" s="380" t="s">
        <v>228</v>
      </c>
      <c r="H42" s="137" t="s">
        <v>325</v>
      </c>
      <c r="L42" t="s">
        <v>326</v>
      </c>
    </row>
    <row r="43" spans="1:12" x14ac:dyDescent="0.25">
      <c r="A43" s="380" t="s">
        <v>39</v>
      </c>
      <c r="B43" s="380" t="s">
        <v>146</v>
      </c>
      <c r="C43" s="406" t="s">
        <v>147</v>
      </c>
      <c r="D43" s="380">
        <v>45</v>
      </c>
      <c r="E43" s="380">
        <v>2</v>
      </c>
      <c r="F43" s="380">
        <v>16</v>
      </c>
      <c r="G43" s="380" t="s">
        <v>263</v>
      </c>
      <c r="L43" t="s">
        <v>327</v>
      </c>
    </row>
    <row r="44" spans="1:12" x14ac:dyDescent="0.25">
      <c r="A44" s="380" t="s">
        <v>53</v>
      </c>
      <c r="B44" s="380" t="s">
        <v>148</v>
      </c>
      <c r="C44" s="406" t="s">
        <v>149</v>
      </c>
      <c r="D44" s="380">
        <v>30</v>
      </c>
      <c r="E44" s="380">
        <v>5</v>
      </c>
      <c r="F44" s="380">
        <v>40</v>
      </c>
      <c r="G44" s="380" t="s">
        <v>237</v>
      </c>
      <c r="L44" t="s">
        <v>328</v>
      </c>
    </row>
    <row r="45" spans="1:12" x14ac:dyDescent="0.25">
      <c r="A45" s="380" t="s">
        <v>329</v>
      </c>
      <c r="B45" s="380" t="s">
        <v>330</v>
      </c>
      <c r="C45" s="406" t="s">
        <v>331</v>
      </c>
      <c r="D45" s="380">
        <v>20</v>
      </c>
      <c r="E45" s="380">
        <v>5</v>
      </c>
      <c r="F45" s="380">
        <v>40</v>
      </c>
      <c r="G45" s="380" t="s">
        <v>332</v>
      </c>
      <c r="L45" t="s">
        <v>333</v>
      </c>
    </row>
    <row r="46" spans="1:12" x14ac:dyDescent="0.25">
      <c r="A46" s="380" t="s">
        <v>334</v>
      </c>
      <c r="B46" s="380" t="s">
        <v>335</v>
      </c>
      <c r="C46" s="406" t="s">
        <v>336</v>
      </c>
      <c r="D46" s="380">
        <v>30</v>
      </c>
      <c r="E46" s="380">
        <v>2</v>
      </c>
      <c r="F46" s="380">
        <v>16</v>
      </c>
      <c r="G46" s="380" t="s">
        <v>332</v>
      </c>
      <c r="L46" t="s">
        <v>167</v>
      </c>
    </row>
    <row r="47" spans="1:12" x14ac:dyDescent="0.25">
      <c r="A47" s="380" t="s">
        <v>40</v>
      </c>
      <c r="B47" s="380" t="s">
        <v>150</v>
      </c>
      <c r="C47" s="406" t="s">
        <v>151</v>
      </c>
      <c r="D47" s="380">
        <v>100</v>
      </c>
      <c r="E47" s="380">
        <v>3</v>
      </c>
      <c r="F47" s="380">
        <v>16</v>
      </c>
      <c r="G47" s="380" t="s">
        <v>332</v>
      </c>
      <c r="L47" t="s">
        <v>337</v>
      </c>
    </row>
    <row r="48" spans="1:12" x14ac:dyDescent="0.25">
      <c r="A48" s="380" t="s">
        <v>338</v>
      </c>
      <c r="B48" s="380" t="s">
        <v>339</v>
      </c>
      <c r="C48" s="406" t="s">
        <v>339</v>
      </c>
      <c r="D48" s="380">
        <v>0</v>
      </c>
      <c r="E48" s="380">
        <v>0</v>
      </c>
      <c r="F48" s="380"/>
      <c r="G48" s="380" t="s">
        <v>340</v>
      </c>
      <c r="L48" t="s">
        <v>182</v>
      </c>
    </row>
    <row r="49" spans="1:12" x14ac:dyDescent="0.25">
      <c r="A49" s="380" t="s">
        <v>341</v>
      </c>
      <c r="B49" s="380" t="s">
        <v>342</v>
      </c>
      <c r="C49" s="406" t="s">
        <v>343</v>
      </c>
      <c r="D49" s="380">
        <v>30</v>
      </c>
      <c r="E49" s="380">
        <v>2</v>
      </c>
      <c r="F49" s="380">
        <v>16</v>
      </c>
      <c r="G49" s="380" t="s">
        <v>332</v>
      </c>
      <c r="L49" t="s">
        <v>344</v>
      </c>
    </row>
    <row r="50" spans="1:12" x14ac:dyDescent="0.25">
      <c r="A50" s="380" t="s">
        <v>54</v>
      </c>
      <c r="B50" s="380" t="s">
        <v>152</v>
      </c>
      <c r="C50" s="406" t="s">
        <v>153</v>
      </c>
      <c r="D50" s="380">
        <v>45</v>
      </c>
      <c r="E50" s="380">
        <v>2</v>
      </c>
      <c r="F50" s="380">
        <v>16</v>
      </c>
      <c r="G50" s="380" t="s">
        <v>332</v>
      </c>
      <c r="L50" t="s">
        <v>183</v>
      </c>
    </row>
    <row r="51" spans="1:12" x14ac:dyDescent="0.25">
      <c r="A51" s="380" t="s">
        <v>36</v>
      </c>
      <c r="B51" s="380" t="s">
        <v>345</v>
      </c>
      <c r="C51" s="406" t="s">
        <v>346</v>
      </c>
      <c r="D51" s="380">
        <v>25</v>
      </c>
      <c r="E51" s="380">
        <v>5</v>
      </c>
      <c r="F51" s="380">
        <v>40</v>
      </c>
      <c r="G51" s="380" t="s">
        <v>228</v>
      </c>
      <c r="L51" t="s">
        <v>347</v>
      </c>
    </row>
    <row r="52" spans="1:12" x14ac:dyDescent="0.25">
      <c r="A52" s="380" t="s">
        <v>348</v>
      </c>
      <c r="B52" s="380" t="s">
        <v>236</v>
      </c>
      <c r="C52" s="406" t="s">
        <v>236</v>
      </c>
      <c r="D52" s="380">
        <v>0</v>
      </c>
      <c r="E52" s="380">
        <v>0</v>
      </c>
      <c r="F52" s="380">
        <v>0</v>
      </c>
      <c r="G52" s="380" t="s">
        <v>263</v>
      </c>
      <c r="L52" t="s">
        <v>349</v>
      </c>
    </row>
    <row r="53" spans="1:12" x14ac:dyDescent="0.25">
      <c r="A53" s="380" t="s">
        <v>350</v>
      </c>
      <c r="B53" s="380" t="s">
        <v>351</v>
      </c>
      <c r="C53" s="406" t="s">
        <v>351</v>
      </c>
      <c r="D53" s="380">
        <v>0</v>
      </c>
      <c r="E53" s="380">
        <v>0</v>
      </c>
      <c r="F53" s="380">
        <v>0</v>
      </c>
      <c r="G53" s="380" t="s">
        <v>340</v>
      </c>
      <c r="L53" t="s">
        <v>352</v>
      </c>
    </row>
    <row r="54" spans="1:12" x14ac:dyDescent="0.25">
      <c r="A54" s="380" t="s">
        <v>181</v>
      </c>
      <c r="B54" s="380" t="s">
        <v>181</v>
      </c>
      <c r="C54" s="406" t="s">
        <v>181</v>
      </c>
      <c r="D54" s="380">
        <v>0</v>
      </c>
      <c r="E54" s="380">
        <v>0</v>
      </c>
      <c r="F54" s="380">
        <v>0</v>
      </c>
      <c r="G54" s="380" t="s">
        <v>340</v>
      </c>
      <c r="L54" t="s">
        <v>353</v>
      </c>
    </row>
    <row r="55" spans="1:12" x14ac:dyDescent="0.25">
      <c r="A55" s="380" t="s">
        <v>354</v>
      </c>
      <c r="B55" s="380" t="s">
        <v>355</v>
      </c>
      <c r="C55" s="406" t="s">
        <v>356</v>
      </c>
      <c r="D55" s="380">
        <v>0</v>
      </c>
      <c r="E55" s="380">
        <v>0</v>
      </c>
      <c r="F55" s="380">
        <v>0</v>
      </c>
      <c r="G55" s="380" t="s">
        <v>340</v>
      </c>
      <c r="L55" t="s">
        <v>357</v>
      </c>
    </row>
    <row r="56" spans="1:12" x14ac:dyDescent="0.25">
      <c r="A56" s="408" t="s">
        <v>358</v>
      </c>
      <c r="B56" s="380" t="s">
        <v>359</v>
      </c>
      <c r="C56" s="406" t="s">
        <v>359</v>
      </c>
      <c r="D56" s="380">
        <v>0</v>
      </c>
      <c r="E56" s="380">
        <v>0</v>
      </c>
      <c r="F56" s="380">
        <v>0</v>
      </c>
      <c r="G56" s="380" t="s">
        <v>340</v>
      </c>
      <c r="L56" t="s">
        <v>360</v>
      </c>
    </row>
    <row r="57" spans="1:12" x14ac:dyDescent="0.25">
      <c r="A57" s="380" t="s">
        <v>361</v>
      </c>
      <c r="B57" s="380" t="s">
        <v>362</v>
      </c>
      <c r="C57" s="406" t="s">
        <v>363</v>
      </c>
      <c r="D57" s="380">
        <v>100</v>
      </c>
      <c r="E57" s="380">
        <v>0.25</v>
      </c>
      <c r="F57" s="380">
        <v>2</v>
      </c>
      <c r="G57" s="380" t="s">
        <v>332</v>
      </c>
      <c r="L57" t="s">
        <v>364</v>
      </c>
    </row>
    <row r="58" spans="1:12" x14ac:dyDescent="0.25">
      <c r="A58" s="380" t="s">
        <v>365</v>
      </c>
      <c r="B58" s="380" t="s">
        <v>366</v>
      </c>
      <c r="C58" s="406" t="s">
        <v>367</v>
      </c>
      <c r="D58" s="380">
        <v>100</v>
      </c>
      <c r="E58" s="380">
        <v>1</v>
      </c>
      <c r="F58" s="380">
        <v>8</v>
      </c>
      <c r="G58" s="380" t="s">
        <v>332</v>
      </c>
      <c r="L58" t="s">
        <v>368</v>
      </c>
    </row>
    <row r="59" spans="1:12" x14ac:dyDescent="0.25">
      <c r="A59" s="380" t="s">
        <v>369</v>
      </c>
      <c r="B59" s="380" t="s">
        <v>370</v>
      </c>
      <c r="C59" s="406" t="s">
        <v>371</v>
      </c>
      <c r="D59" s="380">
        <v>100</v>
      </c>
      <c r="E59" s="380">
        <v>0.1</v>
      </c>
      <c r="F59" s="380">
        <v>0.75</v>
      </c>
      <c r="G59" s="380" t="s">
        <v>332</v>
      </c>
      <c r="L59" t="s">
        <v>168</v>
      </c>
    </row>
    <row r="60" spans="1:12" x14ac:dyDescent="0.25">
      <c r="A60" s="380" t="s">
        <v>372</v>
      </c>
      <c r="B60" s="380" t="s">
        <v>373</v>
      </c>
      <c r="C60" s="406" t="s">
        <v>374</v>
      </c>
      <c r="D60" s="380">
        <v>100</v>
      </c>
      <c r="E60" s="380">
        <v>0.2</v>
      </c>
      <c r="F60" s="380">
        <v>1.5</v>
      </c>
      <c r="G60" s="380" t="s">
        <v>332</v>
      </c>
      <c r="L60" t="s">
        <v>169</v>
      </c>
    </row>
    <row r="61" spans="1:12" x14ac:dyDescent="0.25">
      <c r="A61" s="380" t="s">
        <v>375</v>
      </c>
      <c r="B61" s="380" t="s">
        <v>376</v>
      </c>
      <c r="C61" s="406" t="s">
        <v>377</v>
      </c>
      <c r="D61" s="380">
        <v>100</v>
      </c>
      <c r="E61" s="380">
        <v>0.25</v>
      </c>
      <c r="F61" s="380">
        <v>2</v>
      </c>
      <c r="G61" s="380" t="s">
        <v>332</v>
      </c>
      <c r="L61" t="s">
        <v>170</v>
      </c>
    </row>
    <row r="62" spans="1:12" x14ac:dyDescent="0.25">
      <c r="A62" s="380" t="s">
        <v>378</v>
      </c>
      <c r="B62" s="380" t="s">
        <v>379</v>
      </c>
      <c r="C62" s="406" t="s">
        <v>380</v>
      </c>
      <c r="D62" s="380">
        <v>100</v>
      </c>
      <c r="E62" s="380">
        <v>0.1</v>
      </c>
      <c r="F62" s="380">
        <v>0.75</v>
      </c>
      <c r="G62" s="380" t="s">
        <v>332</v>
      </c>
      <c r="L62" t="s">
        <v>184</v>
      </c>
    </row>
    <row r="63" spans="1:12" x14ac:dyDescent="0.25">
      <c r="A63" s="380" t="s">
        <v>381</v>
      </c>
      <c r="B63" s="380" t="s">
        <v>382</v>
      </c>
      <c r="C63" s="406" t="s">
        <v>383</v>
      </c>
      <c r="D63" s="380">
        <v>100</v>
      </c>
      <c r="E63" s="380">
        <v>0.1</v>
      </c>
      <c r="F63" s="380">
        <v>0.75</v>
      </c>
      <c r="G63" s="380" t="s">
        <v>332</v>
      </c>
      <c r="L63" t="s">
        <v>171</v>
      </c>
    </row>
    <row r="64" spans="1:12" x14ac:dyDescent="0.25">
      <c r="A64" s="380" t="s">
        <v>384</v>
      </c>
      <c r="B64" s="380" t="s">
        <v>385</v>
      </c>
      <c r="C64" s="406" t="s">
        <v>386</v>
      </c>
      <c r="D64" s="380">
        <v>100</v>
      </c>
      <c r="E64" s="380">
        <v>0.1</v>
      </c>
      <c r="F64" s="380">
        <v>1</v>
      </c>
      <c r="G64" s="380" t="s">
        <v>332</v>
      </c>
      <c r="L64" t="s">
        <v>387</v>
      </c>
    </row>
    <row r="65" spans="1:12" x14ac:dyDescent="0.25">
      <c r="A65" s="380" t="s">
        <v>388</v>
      </c>
      <c r="B65" s="380" t="s">
        <v>389</v>
      </c>
      <c r="C65" s="406" t="s">
        <v>390</v>
      </c>
      <c r="D65" s="380">
        <v>100</v>
      </c>
      <c r="E65" s="380">
        <v>0.1</v>
      </c>
      <c r="F65" s="380">
        <v>1</v>
      </c>
      <c r="G65" s="380" t="s">
        <v>332</v>
      </c>
      <c r="L65" t="s">
        <v>172</v>
      </c>
    </row>
    <row r="66" spans="1:12" x14ac:dyDescent="0.25">
      <c r="A66" s="380" t="s">
        <v>391</v>
      </c>
      <c r="B66" s="380" t="s">
        <v>392</v>
      </c>
      <c r="C66" s="406" t="s">
        <v>393</v>
      </c>
      <c r="D66" s="380">
        <v>100</v>
      </c>
      <c r="E66" s="380">
        <v>0.4</v>
      </c>
      <c r="F66" s="380">
        <v>3.5</v>
      </c>
      <c r="G66" s="380" t="s">
        <v>332</v>
      </c>
      <c r="L66" t="s">
        <v>394</v>
      </c>
    </row>
    <row r="67" spans="1:12" x14ac:dyDescent="0.25">
      <c r="A67" s="380" t="s">
        <v>395</v>
      </c>
      <c r="B67" s="380" t="s">
        <v>396</v>
      </c>
      <c r="C67" s="406" t="s">
        <v>397</v>
      </c>
      <c r="D67" s="380">
        <v>100</v>
      </c>
      <c r="E67" s="380">
        <v>0.3</v>
      </c>
      <c r="F67" s="380">
        <v>2.5</v>
      </c>
      <c r="G67" s="380" t="s">
        <v>332</v>
      </c>
      <c r="L67" t="s">
        <v>214</v>
      </c>
    </row>
    <row r="68" spans="1:12" x14ac:dyDescent="0.25">
      <c r="A68" t="s">
        <v>632</v>
      </c>
      <c r="B68" s="380" t="s">
        <v>236</v>
      </c>
      <c r="C68" s="1" t="s">
        <v>236</v>
      </c>
      <c r="D68">
        <v>45</v>
      </c>
      <c r="E68" t="s">
        <v>236</v>
      </c>
      <c r="F68" t="s">
        <v>236</v>
      </c>
      <c r="G68" s="380" t="s">
        <v>263</v>
      </c>
      <c r="L68" t="s">
        <v>173</v>
      </c>
    </row>
    <row r="69" spans="1:12" x14ac:dyDescent="0.25">
      <c r="L69" t="s">
        <v>174</v>
      </c>
    </row>
    <row r="70" spans="1:12" x14ac:dyDescent="0.25">
      <c r="L70" t="s">
        <v>398</v>
      </c>
    </row>
    <row r="71" spans="1:12" x14ac:dyDescent="0.25">
      <c r="L71" t="s">
        <v>399</v>
      </c>
    </row>
    <row r="72" spans="1:12" x14ac:dyDescent="0.25">
      <c r="L72" t="s">
        <v>400</v>
      </c>
    </row>
    <row r="73" spans="1:12" x14ac:dyDescent="0.25">
      <c r="L73" t="s">
        <v>401</v>
      </c>
    </row>
    <row r="74" spans="1:12" x14ac:dyDescent="0.25">
      <c r="L74" t="s">
        <v>402</v>
      </c>
    </row>
    <row r="75" spans="1:12" x14ac:dyDescent="0.25">
      <c r="L75" t="s">
        <v>175</v>
      </c>
    </row>
    <row r="76" spans="1:12" x14ac:dyDescent="0.25">
      <c r="L76" t="s">
        <v>403</v>
      </c>
    </row>
    <row r="77" spans="1:12" x14ac:dyDescent="0.25">
      <c r="L77" t="s">
        <v>404</v>
      </c>
    </row>
    <row r="78" spans="1:12" x14ac:dyDescent="0.25">
      <c r="L78" t="s">
        <v>405</v>
      </c>
    </row>
    <row r="79" spans="1:12" x14ac:dyDescent="0.25">
      <c r="L79" t="s">
        <v>406</v>
      </c>
    </row>
    <row r="80" spans="1:12" x14ac:dyDescent="0.25">
      <c r="L80" t="s">
        <v>407</v>
      </c>
    </row>
    <row r="81" spans="12:12" x14ac:dyDescent="0.25">
      <c r="L81" t="s">
        <v>408</v>
      </c>
    </row>
    <row r="82" spans="12:12" x14ac:dyDescent="0.25">
      <c r="L82" t="s">
        <v>409</v>
      </c>
    </row>
    <row r="83" spans="12:12" x14ac:dyDescent="0.25">
      <c r="L83" t="s">
        <v>410</v>
      </c>
    </row>
    <row r="84" spans="12:12" x14ac:dyDescent="0.25">
      <c r="L84" t="s">
        <v>411</v>
      </c>
    </row>
    <row r="85" spans="12:12" x14ac:dyDescent="0.25">
      <c r="L85" t="s">
        <v>176</v>
      </c>
    </row>
    <row r="86" spans="12:12" x14ac:dyDescent="0.25">
      <c r="L86" t="s">
        <v>412</v>
      </c>
    </row>
    <row r="87" spans="12:12" x14ac:dyDescent="0.25">
      <c r="L87" t="s">
        <v>413</v>
      </c>
    </row>
    <row r="88" spans="12:12" x14ac:dyDescent="0.25">
      <c r="L88" t="s">
        <v>414</v>
      </c>
    </row>
    <row r="89" spans="12:12" x14ac:dyDescent="0.25">
      <c r="L89" t="s">
        <v>415</v>
      </c>
    </row>
    <row r="90" spans="12:12" x14ac:dyDescent="0.25">
      <c r="L90" t="s">
        <v>185</v>
      </c>
    </row>
    <row r="91" spans="12:12" x14ac:dyDescent="0.25">
      <c r="L91" t="s">
        <v>216</v>
      </c>
    </row>
    <row r="92" spans="12:12" x14ac:dyDescent="0.25">
      <c r="L92" t="s">
        <v>416</v>
      </c>
    </row>
    <row r="93" spans="12:12" x14ac:dyDescent="0.25">
      <c r="L93" t="s">
        <v>417</v>
      </c>
    </row>
    <row r="94" spans="12:12" x14ac:dyDescent="0.25">
      <c r="L94" t="s">
        <v>418</v>
      </c>
    </row>
    <row r="95" spans="12:12" x14ac:dyDescent="0.25">
      <c r="L95" t="s">
        <v>419</v>
      </c>
    </row>
    <row r="96" spans="12:12" x14ac:dyDescent="0.25">
      <c r="L96" t="s">
        <v>420</v>
      </c>
    </row>
    <row r="97" spans="12:12" x14ac:dyDescent="0.25">
      <c r="L97" t="s">
        <v>177</v>
      </c>
    </row>
    <row r="98" spans="12:12" x14ac:dyDescent="0.25">
      <c r="L98" t="s">
        <v>421</v>
      </c>
    </row>
    <row r="99" spans="12:12" x14ac:dyDescent="0.25">
      <c r="L99" t="s">
        <v>178</v>
      </c>
    </row>
    <row r="100" spans="12:12" x14ac:dyDescent="0.25">
      <c r="L100" t="s">
        <v>422</v>
      </c>
    </row>
    <row r="101" spans="12:12" x14ac:dyDescent="0.25">
      <c r="L101" t="s">
        <v>423</v>
      </c>
    </row>
    <row r="102" spans="12:12" x14ac:dyDescent="0.25">
      <c r="L102" t="s">
        <v>179</v>
      </c>
    </row>
    <row r="103" spans="12:12" x14ac:dyDescent="0.25">
      <c r="L103" t="s">
        <v>424</v>
      </c>
    </row>
  </sheetData>
  <sortState xmlns:xlrd2="http://schemas.microsoft.com/office/spreadsheetml/2017/richdata2" ref="L2:L103">
    <sortCondition ref="L2:L103"/>
  </sortState>
  <phoneticPr fontId="3" type="noConversion"/>
  <conditionalFormatting sqref="A56">
    <cfRule type="expression" dxfId="4" priority="1">
      <formula>$AA52="Benzick, Sue"</formula>
    </cfRule>
    <cfRule type="expression" dxfId="3" priority="2">
      <formula>$AA52="Jenne, Richard"</formula>
    </cfRule>
    <cfRule type="expression" dxfId="2" priority="3">
      <formula>$AA52="McQueen, Jennifer"</formula>
    </cfRule>
  </conditionalFormatting>
  <dataValidations disablePrompts="1" count="1">
    <dataValidation type="list" allowBlank="1" showInputMessage="1" showErrorMessage="1" sqref="A56" xr:uid="{00000000-0002-0000-0600-000000000000}">
      <formula1>Class</formula1>
    </dataValidation>
  </dataValidations>
  <pageMargins left="0.7" right="0.7" top="0.75" bottom="0.75" header="0.3" footer="0.3"/>
  <pageSetup orientation="portrait" r:id="rId1"/>
  <ignoredErrors>
    <ignoredError sqref="C25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1F7E8-0963-47B0-9474-568EAB56D8B0}">
  <sheetPr>
    <tabColor theme="9" tint="0.79998168889431442"/>
    <pageSetUpPr fitToPage="1"/>
  </sheetPr>
  <dimension ref="A1:AX69"/>
  <sheetViews>
    <sheetView zoomScale="80" zoomScaleNormal="8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P46" sqref="P46"/>
    </sheetView>
  </sheetViews>
  <sheetFormatPr defaultColWidth="7.7109375" defaultRowHeight="15" x14ac:dyDescent="0.25"/>
  <cols>
    <col min="1" max="1" width="25.42578125" style="13" customWidth="1"/>
    <col min="2" max="2" width="7.7109375" style="13" bestFit="1" customWidth="1"/>
    <col min="3" max="4" width="11" style="13" customWidth="1"/>
    <col min="5" max="5" width="7.7109375" style="13" bestFit="1" customWidth="1"/>
    <col min="6" max="14" width="7.7109375" style="13" customWidth="1"/>
    <col min="15" max="15" width="3.42578125" style="263" customWidth="1"/>
    <col min="16" max="16" width="7.7109375" style="13" customWidth="1"/>
    <col min="17" max="17" width="7.7109375" style="13" bestFit="1" customWidth="1"/>
    <col min="18" max="23" width="7.7109375" style="13" customWidth="1"/>
    <col min="24" max="25" width="7.7109375" style="13" hidden="1" customWidth="1"/>
    <col min="26" max="26" width="2.28515625" style="13" customWidth="1"/>
    <col min="27" max="28" width="7.7109375" style="13" customWidth="1"/>
    <col min="29" max="29" width="7.7109375" style="209" customWidth="1"/>
    <col min="30" max="30" width="7.7109375" style="13" customWidth="1"/>
    <col min="31" max="31" width="9.42578125" style="13" customWidth="1"/>
    <col min="32" max="32" width="9.85546875" style="13" customWidth="1"/>
    <col min="33" max="33" width="8.7109375" style="13" customWidth="1"/>
    <col min="34" max="34" width="2.5703125" style="13" customWidth="1"/>
    <col min="35" max="35" width="7.7109375" style="13" customWidth="1"/>
    <col min="36" max="36" width="9.85546875" style="13" customWidth="1"/>
    <col min="37" max="37" width="9.5703125" style="13" customWidth="1"/>
    <col min="38" max="38" width="8" style="13" customWidth="1"/>
    <col min="39" max="40" width="9.7109375" style="13" customWidth="1"/>
    <col min="41" max="41" width="8.7109375" style="13" customWidth="1"/>
    <col min="42" max="42" width="2.5703125" style="13" customWidth="1"/>
    <col min="43" max="43" width="7.7109375" style="218"/>
    <col min="44" max="44" width="7.7109375" style="218" customWidth="1"/>
    <col min="45" max="46" width="7.7109375" style="13"/>
    <col min="47" max="47" width="9" style="13" customWidth="1"/>
    <col min="48" max="48" width="15.7109375" style="13" customWidth="1"/>
    <col min="49" max="49" width="11.42578125" style="13" customWidth="1"/>
    <col min="50" max="50" width="26.5703125" style="13" customWidth="1"/>
    <col min="51" max="16384" width="7.7109375" style="13"/>
  </cols>
  <sheetData>
    <row r="1" spans="1:50" ht="87.75" customHeight="1" x14ac:dyDescent="0.25">
      <c r="A1" s="227" t="s">
        <v>71</v>
      </c>
      <c r="B1" s="228" t="s">
        <v>4</v>
      </c>
      <c r="C1" s="228" t="s">
        <v>72</v>
      </c>
      <c r="D1" s="229" t="s">
        <v>73</v>
      </c>
      <c r="E1" s="229" t="s">
        <v>74</v>
      </c>
      <c r="F1" s="255" t="s">
        <v>575</v>
      </c>
      <c r="G1" s="255" t="s">
        <v>576</v>
      </c>
      <c r="H1" s="255" t="s">
        <v>577</v>
      </c>
      <c r="I1" s="255" t="s">
        <v>578</v>
      </c>
      <c r="J1" s="255" t="s">
        <v>579</v>
      </c>
      <c r="K1" s="255" t="s">
        <v>580</v>
      </c>
      <c r="L1" s="255" t="s">
        <v>581</v>
      </c>
      <c r="M1" s="255" t="s">
        <v>582</v>
      </c>
      <c r="N1" s="255" t="s">
        <v>583</v>
      </c>
      <c r="O1" s="256" t="s">
        <v>584</v>
      </c>
      <c r="P1" s="257" t="s">
        <v>585</v>
      </c>
      <c r="Q1" s="257" t="s">
        <v>586</v>
      </c>
      <c r="R1" s="257" t="s">
        <v>587</v>
      </c>
      <c r="S1" s="257" t="s">
        <v>588</v>
      </c>
      <c r="T1" s="257" t="s">
        <v>589</v>
      </c>
      <c r="U1" s="257" t="s">
        <v>590</v>
      </c>
      <c r="V1" s="257" t="s">
        <v>75</v>
      </c>
      <c r="W1" s="257" t="s">
        <v>591</v>
      </c>
      <c r="X1" s="230" t="s">
        <v>592</v>
      </c>
      <c r="Y1" s="231" t="s">
        <v>593</v>
      </c>
      <c r="Z1" s="232" t="s">
        <v>594</v>
      </c>
      <c r="AA1" s="233" t="s">
        <v>595</v>
      </c>
      <c r="AB1" s="234" t="s">
        <v>596</v>
      </c>
      <c r="AC1" s="235" t="s">
        <v>597</v>
      </c>
      <c r="AD1" s="233" t="s">
        <v>598</v>
      </c>
      <c r="AE1" s="233" t="s">
        <v>599</v>
      </c>
      <c r="AF1" s="234" t="s">
        <v>600</v>
      </c>
      <c r="AG1" s="234" t="s">
        <v>601</v>
      </c>
      <c r="AH1" s="232" t="s">
        <v>602</v>
      </c>
      <c r="AI1" s="236" t="s">
        <v>603</v>
      </c>
      <c r="AJ1" s="237" t="s">
        <v>604</v>
      </c>
      <c r="AK1" s="236" t="s">
        <v>605</v>
      </c>
      <c r="AL1" s="236" t="s">
        <v>606</v>
      </c>
      <c r="AM1" s="236" t="s">
        <v>607</v>
      </c>
      <c r="AN1" s="237" t="s">
        <v>608</v>
      </c>
      <c r="AO1" s="237" t="s">
        <v>609</v>
      </c>
      <c r="AP1" s="232" t="s">
        <v>610</v>
      </c>
      <c r="AQ1" s="238" t="s">
        <v>611</v>
      </c>
      <c r="AR1" s="239" t="s">
        <v>612</v>
      </c>
      <c r="AS1" s="240" t="s">
        <v>613</v>
      </c>
      <c r="AT1" s="240" t="s">
        <v>614</v>
      </c>
      <c r="AU1" s="240" t="s">
        <v>615</v>
      </c>
      <c r="AV1" s="241" t="s">
        <v>616</v>
      </c>
      <c r="AW1" s="241" t="s">
        <v>617</v>
      </c>
      <c r="AX1" s="242" t="s">
        <v>618</v>
      </c>
    </row>
    <row r="2" spans="1:50" s="209" customFormat="1" ht="45" x14ac:dyDescent="0.25">
      <c r="A2" s="477" t="s">
        <v>15</v>
      </c>
      <c r="B2" s="203" t="str">
        <f>VLOOKUP(Table119[[#This Row],[Course]],'TSD-Data'!$A$1:$G$70,7,FALSE)</f>
        <v>N4</v>
      </c>
      <c r="C2" s="203" t="s">
        <v>86</v>
      </c>
      <c r="D2" s="203" t="str">
        <f>VLOOKUP(Table119[[#This Row],[Course]],'TSD-Data'!$A$1:$G$70,2,FALSE)</f>
        <v>A-4J-0022</v>
      </c>
      <c r="E2" s="203" t="str">
        <f>VLOOKUP(Table119[[#This Row],[Course]],'TSD-Data'!$A$1:$G$70,3,FALSE)</f>
        <v>09ER</v>
      </c>
      <c r="F2" s="203">
        <v>248</v>
      </c>
      <c r="G2" s="203">
        <f>VLOOKUP(Table119[[#This Row],[Course]],'TSD-Data'!$A$1:$G$70,4,FALSE)</f>
        <v>45</v>
      </c>
      <c r="H2" s="275">
        <f>Table119[[#This Row],[FY26 FLT Quota Need]]/Table119[[#This Row],[FY26 Quota Per course]]</f>
        <v>5.5111111111111111</v>
      </c>
      <c r="I2" s="258">
        <f>ROUNDUP(Table119[[#This Row],[FY26 Courses Needed]],0)</f>
        <v>6</v>
      </c>
      <c r="J2" s="410">
        <v>10</v>
      </c>
      <c r="K2" s="339">
        <f>VLOOKUP(Table119[[#This Row],[Course]],'TSD-Data'!$A$1:$G$70,6,FALSE)</f>
        <v>16</v>
      </c>
      <c r="L2" s="204">
        <f>Table119[[#This Row],[FY26 NSETC Course '# projections]]*Table119[[#This Row],[FY26 Hours Per Course]]</f>
        <v>160</v>
      </c>
      <c r="M2" s="204">
        <f>Table119[[#This Row],[FY26 NSETC Course '# projections]]-Table119[[#This Row],[FY26 Courses Needed Round UP]]</f>
        <v>4</v>
      </c>
      <c r="N2" s="341">
        <f t="shared" ref="N2:N33" si="0">IFERROR(J2*G2/F2, "N/A")</f>
        <v>1.814516129032258</v>
      </c>
      <c r="O2" s="259"/>
      <c r="P2" s="270">
        <v>9</v>
      </c>
      <c r="Q2" s="280">
        <v>45</v>
      </c>
      <c r="R2" s="35">
        <v>152</v>
      </c>
      <c r="S2" s="260">
        <v>8</v>
      </c>
      <c r="T2" s="260">
        <v>32</v>
      </c>
      <c r="U2" s="281">
        <f>(Table119[[#This Row],[FY25 Grads]]+Table119[[#This Row],[FY25 Fails]])/Table119[[#This Row],[FY25 Total Courses]]</f>
        <v>17.777777777777779</v>
      </c>
      <c r="V2" s="140">
        <v>337</v>
      </c>
      <c r="W2" s="276">
        <f>IFERROR((R2+S2)/V2, "N/A")</f>
        <v>0.47477744807121663</v>
      </c>
      <c r="X2" s="206">
        <v>456</v>
      </c>
      <c r="Y2" s="207">
        <v>23</v>
      </c>
      <c r="Z2" s="208"/>
      <c r="AA2" s="283">
        <v>10</v>
      </c>
      <c r="AB2" s="284">
        <v>45</v>
      </c>
      <c r="AC2" s="285">
        <v>191</v>
      </c>
      <c r="AD2" s="286">
        <v>2</v>
      </c>
      <c r="AE2" s="301">
        <f t="shared" ref="AE2" si="1">AVERAGE(AC2+AD2)/AA2</f>
        <v>19.3</v>
      </c>
      <c r="AF2" s="34">
        <v>340</v>
      </c>
      <c r="AG2" s="302">
        <f t="shared" ref="AG2" si="2">SUM(AC2+AD2)/AF2</f>
        <v>0.56764705882352939</v>
      </c>
      <c r="AH2" s="208"/>
      <c r="AI2" s="280">
        <v>11</v>
      </c>
      <c r="AJ2" s="300">
        <v>20</v>
      </c>
      <c r="AK2" s="260">
        <v>204</v>
      </c>
      <c r="AL2" s="260">
        <v>8</v>
      </c>
      <c r="AM2" s="304">
        <f t="shared" ref="AM2" si="3">AVERAGE(AK2+AL2)/AI2</f>
        <v>19.272727272727273</v>
      </c>
      <c r="AN2" s="305">
        <v>220</v>
      </c>
      <c r="AO2" s="302">
        <f t="shared" ref="AO2" si="4">SUM(AK2+AL2)/AN2</f>
        <v>0.96363636363636362</v>
      </c>
      <c r="AP2" s="306"/>
      <c r="AQ2" s="287">
        <v>19</v>
      </c>
      <c r="AR2" s="287">
        <v>30</v>
      </c>
      <c r="AS2" s="307">
        <v>209</v>
      </c>
      <c r="AT2" s="307">
        <v>0</v>
      </c>
      <c r="AU2" s="321">
        <v>11</v>
      </c>
      <c r="AV2" s="308">
        <v>570</v>
      </c>
      <c r="AW2" s="309">
        <f t="shared" ref="AW2" si="5">SUM(AS2+AT2)/AV2</f>
        <v>0.36666666666666664</v>
      </c>
      <c r="AX2" s="269" t="s">
        <v>619</v>
      </c>
    </row>
    <row r="3" spans="1:50" s="209" customFormat="1" ht="15.75" x14ac:dyDescent="0.25">
      <c r="A3" s="478" t="s">
        <v>89</v>
      </c>
      <c r="B3" s="203" t="str">
        <f>VLOOKUP(Table119[[#This Row],[Course]],'TSD-Data'!$A$1:$G$70,7,FALSE)</f>
        <v>N3</v>
      </c>
      <c r="C3" s="479" t="s">
        <v>7</v>
      </c>
      <c r="D3" s="203" t="str">
        <f>VLOOKUP(Table119[[#This Row],[Course]],'TSD-Data'!$A$1:$G$70,2,FALSE)</f>
        <v>A-493-0014</v>
      </c>
      <c r="E3" s="203">
        <f>VLOOKUP(Table119[[#This Row],[Course]],'TSD-Data'!$A$1:$G$70,3,FALSE)</f>
        <v>3878</v>
      </c>
      <c r="F3" s="69">
        <v>472</v>
      </c>
      <c r="G3" s="203">
        <f>VLOOKUP(Table119[[#This Row],[Course]],'TSD-Data'!$A$1:$G$70,4,FALSE)</f>
        <v>25</v>
      </c>
      <c r="H3" s="275">
        <f>Table119[[#This Row],[FY26 FLT Quota Need]]/Table119[[#This Row],[FY26 Quota Per course]]</f>
        <v>18.88</v>
      </c>
      <c r="I3" s="258">
        <f>ROUNDUP(Table119[[#This Row],[FY26 Courses Needed]],0)</f>
        <v>19</v>
      </c>
      <c r="J3" s="410">
        <v>2</v>
      </c>
      <c r="K3" s="339">
        <f>VLOOKUP(Table119[[#This Row],[Course]],'TSD-Data'!$A$1:$G$70,6,FALSE)</f>
        <v>24</v>
      </c>
      <c r="L3" s="204">
        <f>Table119[[#This Row],[FY26 NSETC Course '# projections]]*Table119[[#This Row],[FY26 Hours Per Course]]</f>
        <v>48</v>
      </c>
      <c r="M3" s="204">
        <f>Table119[[#This Row],[FY26 NSETC Course '# projections]]-Table119[[#This Row],[FY26 Courses Needed Round UP]]</f>
        <v>-17</v>
      </c>
      <c r="N3" s="341">
        <f t="shared" si="0"/>
        <v>0.1059322033898305</v>
      </c>
      <c r="O3" s="259"/>
      <c r="P3" s="270">
        <v>3</v>
      </c>
      <c r="Q3" s="280">
        <v>25</v>
      </c>
      <c r="R3" s="35">
        <v>11</v>
      </c>
      <c r="S3" s="260">
        <v>0</v>
      </c>
      <c r="T3" s="260">
        <v>1</v>
      </c>
      <c r="U3" s="281">
        <f>(Table119[[#This Row],[FY25 Grads]]+Table119[[#This Row],[FY25 Fails]])/Table119[[#This Row],[FY25 Total Courses]]</f>
        <v>3.6666666666666665</v>
      </c>
      <c r="V3" s="140">
        <v>325</v>
      </c>
      <c r="W3" s="276">
        <f t="shared" ref="W3:W50" si="6">IFERROR((R3+S3)/V3, "N/A")</f>
        <v>3.3846153846153845E-2</v>
      </c>
      <c r="X3" s="206">
        <v>463</v>
      </c>
      <c r="Y3" s="207">
        <v>19</v>
      </c>
      <c r="Z3" s="208"/>
      <c r="AA3" s="287">
        <v>2</v>
      </c>
      <c r="AB3" s="284">
        <v>25</v>
      </c>
      <c r="AC3" s="288">
        <v>31</v>
      </c>
      <c r="AD3" s="289">
        <v>1</v>
      </c>
      <c r="AE3" s="301">
        <f t="shared" ref="AE3:AE31" si="7">AVERAGE(AC3+AD3)/AA3</f>
        <v>16</v>
      </c>
      <c r="AF3" s="34">
        <v>384</v>
      </c>
      <c r="AG3" s="302">
        <f t="shared" ref="AG3:AG31" si="8">SUM(AC3+AD3)/AF3</f>
        <v>8.3333333333333329E-2</v>
      </c>
      <c r="AH3" s="208"/>
      <c r="AI3" s="280">
        <v>3</v>
      </c>
      <c r="AJ3" s="300">
        <v>25</v>
      </c>
      <c r="AK3" s="260">
        <v>51</v>
      </c>
      <c r="AL3" s="260">
        <v>0</v>
      </c>
      <c r="AM3" s="304">
        <f t="shared" ref="AM3:AM31" si="9">AVERAGE(AK3+AL3)/AI3</f>
        <v>17</v>
      </c>
      <c r="AN3" s="310">
        <v>215</v>
      </c>
      <c r="AO3" s="302">
        <f t="shared" ref="AO3:AO31" si="10">SUM(AK3+AL3)/AN3</f>
        <v>0.23720930232558141</v>
      </c>
      <c r="AP3" s="306"/>
      <c r="AQ3" s="287">
        <v>1</v>
      </c>
      <c r="AR3" s="287">
        <v>25</v>
      </c>
      <c r="AS3" s="307">
        <v>10</v>
      </c>
      <c r="AT3" s="307">
        <v>0</v>
      </c>
      <c r="AU3" s="311">
        <f>(Table119[[#This Row],[FY22 Grads]]+Table119[[#This Row],[FY22 Fails]])/Table119[[#This Row],[FY22 Total Courses]]</f>
        <v>10</v>
      </c>
      <c r="AV3" s="308">
        <v>179</v>
      </c>
      <c r="AW3" s="302">
        <f t="shared" ref="AW3:AW12" si="11">SUM(AS3+AT3)/AV3</f>
        <v>5.5865921787709494E-2</v>
      </c>
      <c r="AX3" s="246" t="s">
        <v>41</v>
      </c>
    </row>
    <row r="4" spans="1:50" s="209" customFormat="1" ht="30" x14ac:dyDescent="0.25">
      <c r="A4" s="477" t="s">
        <v>42</v>
      </c>
      <c r="B4" s="203" t="str">
        <f>VLOOKUP(Table119[[#This Row],[Course]],'TSD-Data'!$A$1:$G$70,7,FALSE)</f>
        <v>N3</v>
      </c>
      <c r="C4" s="479" t="s">
        <v>7</v>
      </c>
      <c r="D4" s="203" t="str">
        <f>VLOOKUP(Table119[[#This Row],[Course]],'TSD-Data'!$A$1:$G$70,2,FALSE)</f>
        <v>A-493-0015</v>
      </c>
      <c r="E4" s="203">
        <f>VLOOKUP(Table119[[#This Row],[Course]],'TSD-Data'!$A$1:$G$70,3,FALSE)</f>
        <v>3879</v>
      </c>
      <c r="F4" s="69">
        <v>216</v>
      </c>
      <c r="G4" s="203">
        <f>VLOOKUP(Table119[[#This Row],[Course]],'TSD-Data'!$A$1:$G$70,4,FALSE)</f>
        <v>30</v>
      </c>
      <c r="H4" s="275">
        <f>Table119[[#This Row],[FY26 FLT Quota Need]]/Table119[[#This Row],[FY26 Quota Per course]]</f>
        <v>7.2</v>
      </c>
      <c r="I4" s="258">
        <f>ROUNDUP(Table119[[#This Row],[FY26 Courses Needed]],0)</f>
        <v>8</v>
      </c>
      <c r="J4" s="410">
        <v>4</v>
      </c>
      <c r="K4" s="339">
        <f>VLOOKUP(Table119[[#This Row],[Course]],'TSD-Data'!$A$1:$G$70,6,FALSE)</f>
        <v>4</v>
      </c>
      <c r="L4" s="340">
        <f>Table119[[#This Row],[FY26 NSETC Course '# projections]]*Table119[[#This Row],[FY26 Hours Per Course]]</f>
        <v>16</v>
      </c>
      <c r="M4" s="340">
        <f>Table119[[#This Row],[FY26 NSETC Course '# projections]]-Table119[[#This Row],[FY26 Courses Needed Round UP]]</f>
        <v>-4</v>
      </c>
      <c r="N4" s="341">
        <f t="shared" si="0"/>
        <v>0.55555555555555558</v>
      </c>
      <c r="O4" s="259"/>
      <c r="P4" s="270">
        <v>3</v>
      </c>
      <c r="Q4" s="280">
        <v>30</v>
      </c>
      <c r="R4" s="35">
        <v>29</v>
      </c>
      <c r="S4" s="260">
        <v>0</v>
      </c>
      <c r="T4" s="260">
        <v>1</v>
      </c>
      <c r="U4" s="281">
        <f>(Table119[[#This Row],[FY25 Grads]]+Table119[[#This Row],[FY25 Fails]])/Table119[[#This Row],[FY25 Total Courses]]</f>
        <v>9.6666666666666661</v>
      </c>
      <c r="V4" s="140">
        <v>341</v>
      </c>
      <c r="W4" s="276">
        <f t="shared" si="6"/>
        <v>8.5043988269794715E-2</v>
      </c>
      <c r="X4" s="206">
        <v>403</v>
      </c>
      <c r="Y4" s="207">
        <v>14</v>
      </c>
      <c r="Z4" s="208"/>
      <c r="AA4" s="287">
        <v>4</v>
      </c>
      <c r="AB4" s="284">
        <v>30</v>
      </c>
      <c r="AC4" s="288">
        <v>69</v>
      </c>
      <c r="AD4" s="289">
        <v>1</v>
      </c>
      <c r="AE4" s="301">
        <f t="shared" si="7"/>
        <v>17.5</v>
      </c>
      <c r="AF4" s="34">
        <v>361</v>
      </c>
      <c r="AG4" s="302">
        <f t="shared" si="8"/>
        <v>0.19390581717451524</v>
      </c>
      <c r="AH4" s="208"/>
      <c r="AI4" s="280">
        <v>4</v>
      </c>
      <c r="AJ4" s="300">
        <v>30</v>
      </c>
      <c r="AK4" s="260">
        <v>68</v>
      </c>
      <c r="AL4" s="260">
        <v>0</v>
      </c>
      <c r="AM4" s="304">
        <f t="shared" si="9"/>
        <v>17</v>
      </c>
      <c r="AN4" s="310">
        <v>170</v>
      </c>
      <c r="AO4" s="302">
        <f t="shared" si="10"/>
        <v>0.4</v>
      </c>
      <c r="AP4" s="306"/>
      <c r="AQ4" s="287">
        <v>4</v>
      </c>
      <c r="AR4" s="287">
        <v>25</v>
      </c>
      <c r="AS4" s="307">
        <v>64</v>
      </c>
      <c r="AT4" s="307">
        <v>1</v>
      </c>
      <c r="AU4" s="311">
        <f>(Table119[[#This Row],[FY22 Grads]]+Table119[[#This Row],[FY22 Fails]])/Table119[[#This Row],[FY22 Total Courses]]</f>
        <v>16.25</v>
      </c>
      <c r="AV4" s="308">
        <v>107</v>
      </c>
      <c r="AW4" s="302">
        <f t="shared" si="11"/>
        <v>0.60747663551401865</v>
      </c>
      <c r="AX4" s="246" t="s">
        <v>42</v>
      </c>
    </row>
    <row r="5" spans="1:50" s="209" customFormat="1" ht="30" x14ac:dyDescent="0.25">
      <c r="A5" s="478" t="s">
        <v>93</v>
      </c>
      <c r="B5" s="203" t="str">
        <f>VLOOKUP(Table119[[#This Row],[Course]],'TSD-Data'!$A$1:$G$70,7,FALSE)</f>
        <v>N3</v>
      </c>
      <c r="C5" s="479" t="s">
        <v>7</v>
      </c>
      <c r="D5" s="203" t="str">
        <f>VLOOKUP(Table119[[#This Row],[Course]],'TSD-Data'!$A$1:$G$70,2,FALSE)</f>
        <v>A-493-0019</v>
      </c>
      <c r="E5" s="203">
        <f>VLOOKUP(Table119[[#This Row],[Course]],'TSD-Data'!$A$1:$G$70,3,FALSE)</f>
        <v>3882</v>
      </c>
      <c r="F5" s="69">
        <v>181</v>
      </c>
      <c r="G5" s="203">
        <f>VLOOKUP(Table119[[#This Row],[Course]],'TSD-Data'!$A$1:$G$70,4,FALSE)</f>
        <v>25</v>
      </c>
      <c r="H5" s="275">
        <f>Table119[[#This Row],[FY26 FLT Quota Need]]/Table119[[#This Row],[FY26 Quota Per course]]</f>
        <v>7.24</v>
      </c>
      <c r="I5" s="258">
        <f>ROUNDUP(Table119[[#This Row],[FY26 Courses Needed]],0)</f>
        <v>8</v>
      </c>
      <c r="J5" s="410">
        <v>2</v>
      </c>
      <c r="K5" s="339">
        <f>VLOOKUP(Table119[[#This Row],[Course]],'TSD-Data'!$A$1:$G$70,6,FALSE)</f>
        <v>16</v>
      </c>
      <c r="L5" s="204">
        <f>Table119[[#This Row],[FY26 NSETC Course '# projections]]*Table119[[#This Row],[FY26 Hours Per Course]]</f>
        <v>32</v>
      </c>
      <c r="M5" s="340">
        <f>Table119[[#This Row],[FY26 NSETC Course '# projections]]-Table119[[#This Row],[FY26 Courses Needed Round UP]]</f>
        <v>-6</v>
      </c>
      <c r="N5" s="341">
        <f t="shared" si="0"/>
        <v>0.27624309392265195</v>
      </c>
      <c r="O5" s="259"/>
      <c r="P5" s="270">
        <v>3</v>
      </c>
      <c r="Q5" s="280">
        <v>25</v>
      </c>
      <c r="R5" s="35">
        <v>9</v>
      </c>
      <c r="S5" s="260">
        <v>0</v>
      </c>
      <c r="T5" s="260">
        <v>0</v>
      </c>
      <c r="U5" s="281">
        <f>(Table119[[#This Row],[FY25 Grads]]+Table119[[#This Row],[FY25 Fails]])/Table119[[#This Row],[FY25 Total Courses]]</f>
        <v>3</v>
      </c>
      <c r="V5" s="140">
        <v>128</v>
      </c>
      <c r="W5" s="276">
        <f t="shared" si="6"/>
        <v>7.03125E-2</v>
      </c>
      <c r="X5" s="206">
        <v>307</v>
      </c>
      <c r="Y5" s="207">
        <v>13</v>
      </c>
      <c r="Z5" s="208"/>
      <c r="AA5" s="287">
        <v>2</v>
      </c>
      <c r="AB5" s="284">
        <v>25</v>
      </c>
      <c r="AC5" s="288">
        <v>24</v>
      </c>
      <c r="AD5" s="289">
        <v>0</v>
      </c>
      <c r="AE5" s="301">
        <f t="shared" si="7"/>
        <v>12</v>
      </c>
      <c r="AF5" s="34">
        <v>261</v>
      </c>
      <c r="AG5" s="302">
        <f t="shared" si="8"/>
        <v>9.1954022988505746E-2</v>
      </c>
      <c r="AH5" s="208"/>
      <c r="AI5" s="280">
        <v>3</v>
      </c>
      <c r="AJ5" s="300">
        <v>25</v>
      </c>
      <c r="AK5" s="260">
        <v>26</v>
      </c>
      <c r="AL5" s="260">
        <v>0</v>
      </c>
      <c r="AM5" s="304">
        <f t="shared" si="9"/>
        <v>8.6666666666666661</v>
      </c>
      <c r="AN5" s="310">
        <v>95</v>
      </c>
      <c r="AO5" s="302">
        <f t="shared" si="10"/>
        <v>0.27368421052631581</v>
      </c>
      <c r="AP5" s="306"/>
      <c r="AQ5" s="287">
        <v>1</v>
      </c>
      <c r="AR5" s="287">
        <v>25</v>
      </c>
      <c r="AS5" s="307">
        <v>9</v>
      </c>
      <c r="AT5" s="307">
        <v>0</v>
      </c>
      <c r="AU5" s="311">
        <f>(Table119[[#This Row],[FY22 Grads]]+Table119[[#This Row],[FY22 Fails]])/Table119[[#This Row],[FY22 Total Courses]]</f>
        <v>9</v>
      </c>
      <c r="AV5" s="308">
        <v>82</v>
      </c>
      <c r="AW5" s="302">
        <f t="shared" si="11"/>
        <v>0.10975609756097561</v>
      </c>
      <c r="AX5" s="246" t="s">
        <v>428</v>
      </c>
    </row>
    <row r="6" spans="1:50" s="209" customFormat="1" ht="30" x14ac:dyDescent="0.25">
      <c r="A6" s="477" t="s">
        <v>44</v>
      </c>
      <c r="B6" s="203" t="str">
        <f>VLOOKUP(Table119[[#This Row],[Course]],'TSD-Data'!$A$1:$G$70,7,FALSE)</f>
        <v>N3</v>
      </c>
      <c r="C6" s="479" t="s">
        <v>7</v>
      </c>
      <c r="D6" s="203" t="str">
        <f>VLOOKUP(Table119[[#This Row],[Course]],'TSD-Data'!$A$1:$G$70,2,FALSE)</f>
        <v>A-493-0020</v>
      </c>
      <c r="E6" s="203">
        <f>VLOOKUP(Table119[[#This Row],[Course]],'TSD-Data'!$A$1:$G$70,3,FALSE)</f>
        <v>3888</v>
      </c>
      <c r="F6" s="69">
        <v>163</v>
      </c>
      <c r="G6" s="203">
        <f>VLOOKUP(Table119[[#This Row],[Course]],'TSD-Data'!$A$1:$G$70,4,FALSE)</f>
        <v>30</v>
      </c>
      <c r="H6" s="275">
        <f>Table119[[#This Row],[FY26 FLT Quota Need]]/Table119[[#This Row],[FY26 Quota Per course]]</f>
        <v>5.4333333333333336</v>
      </c>
      <c r="I6" s="258">
        <f>ROUNDUP(Table119[[#This Row],[FY26 Courses Needed]],0)</f>
        <v>6</v>
      </c>
      <c r="J6" s="410">
        <v>4</v>
      </c>
      <c r="K6" s="339">
        <f>VLOOKUP(Table119[[#This Row],[Course]],'TSD-Data'!$A$1:$G$70,6,FALSE)</f>
        <v>4</v>
      </c>
      <c r="L6" s="340">
        <f>Table119[[#This Row],[FY26 NSETC Course '# projections]]*Table119[[#This Row],[FY26 Hours Per Course]]</f>
        <v>16</v>
      </c>
      <c r="M6" s="340">
        <f>Table119[[#This Row],[FY26 NSETC Course '# projections]]-Table119[[#This Row],[FY26 Courses Needed Round UP]]</f>
        <v>-2</v>
      </c>
      <c r="N6" s="341">
        <f t="shared" si="0"/>
        <v>0.73619631901840488</v>
      </c>
      <c r="O6" s="259"/>
      <c r="P6" s="270">
        <v>4</v>
      </c>
      <c r="Q6" s="280">
        <v>30</v>
      </c>
      <c r="R6" s="35">
        <v>31</v>
      </c>
      <c r="S6" s="260">
        <v>0</v>
      </c>
      <c r="T6" s="260">
        <v>3</v>
      </c>
      <c r="U6" s="281">
        <f>(Table119[[#This Row],[FY25 Grads]]+Table119[[#This Row],[FY25 Fails]])/Table119[[#This Row],[FY25 Total Courses]]</f>
        <v>7.75</v>
      </c>
      <c r="V6" s="140">
        <v>171</v>
      </c>
      <c r="W6" s="276">
        <f t="shared" si="6"/>
        <v>0.18128654970760233</v>
      </c>
      <c r="X6" s="206">
        <v>261</v>
      </c>
      <c r="Y6" s="207">
        <v>9</v>
      </c>
      <c r="Z6" s="208"/>
      <c r="AA6" s="287">
        <v>4</v>
      </c>
      <c r="AB6" s="284">
        <v>30</v>
      </c>
      <c r="AC6" s="288">
        <v>42</v>
      </c>
      <c r="AD6" s="289">
        <v>0</v>
      </c>
      <c r="AE6" s="301">
        <f t="shared" si="7"/>
        <v>10.5</v>
      </c>
      <c r="AF6" s="34">
        <v>234</v>
      </c>
      <c r="AG6" s="302">
        <f t="shared" si="8"/>
        <v>0.17948717948717949</v>
      </c>
      <c r="AH6" s="208"/>
      <c r="AI6" s="280">
        <v>4</v>
      </c>
      <c r="AJ6" s="300">
        <v>30</v>
      </c>
      <c r="AK6" s="260">
        <v>41</v>
      </c>
      <c r="AL6" s="260">
        <v>0</v>
      </c>
      <c r="AM6" s="304">
        <f t="shared" si="9"/>
        <v>10.25</v>
      </c>
      <c r="AN6" s="310">
        <v>79</v>
      </c>
      <c r="AO6" s="302">
        <f t="shared" si="10"/>
        <v>0.51898734177215189</v>
      </c>
      <c r="AP6" s="306"/>
      <c r="AQ6" s="287">
        <v>4</v>
      </c>
      <c r="AR6" s="287">
        <v>25</v>
      </c>
      <c r="AS6" s="307">
        <v>28</v>
      </c>
      <c r="AT6" s="307">
        <v>0</v>
      </c>
      <c r="AU6" s="311">
        <f>(Table119[[#This Row],[FY22 Grads]]+Table119[[#This Row],[FY22 Fails]])/Table119[[#This Row],[FY22 Total Courses]]</f>
        <v>7</v>
      </c>
      <c r="AV6" s="308">
        <v>76</v>
      </c>
      <c r="AW6" s="302">
        <f t="shared" si="11"/>
        <v>0.36842105263157893</v>
      </c>
      <c r="AX6" s="246" t="s">
        <v>44</v>
      </c>
    </row>
    <row r="7" spans="1:50" s="209" customFormat="1" ht="53.25" customHeight="1" x14ac:dyDescent="0.25">
      <c r="A7" s="477" t="s">
        <v>45</v>
      </c>
      <c r="B7" s="203" t="str">
        <f>VLOOKUP(Table119[[#This Row],[Course]],'TSD-Data'!$A$1:$G$70,7,FALSE)</f>
        <v>N3</v>
      </c>
      <c r="C7" s="479" t="s">
        <v>7</v>
      </c>
      <c r="D7" s="203" t="str">
        <f>VLOOKUP(Table119[[#This Row],[Course]],'TSD-Data'!$A$1:$G$70,2,FALSE)</f>
        <v>A-493-0069</v>
      </c>
      <c r="E7" s="203" t="str">
        <f>VLOOKUP(Table119[[#This Row],[Course]],'TSD-Data'!$A$1:$G$70,3,FALSE)</f>
        <v>450U</v>
      </c>
      <c r="F7" s="69">
        <v>216</v>
      </c>
      <c r="G7" s="203">
        <f>VLOOKUP(Table119[[#This Row],[Course]],'TSD-Data'!$A$1:$G$70,4,FALSE)</f>
        <v>25</v>
      </c>
      <c r="H7" s="275">
        <f>Table119[[#This Row],[FY26 FLT Quota Need]]/Table119[[#This Row],[FY26 Quota Per course]]</f>
        <v>8.64</v>
      </c>
      <c r="I7" s="258">
        <f>ROUNDUP(Table119[[#This Row],[FY26 Courses Needed]],0)</f>
        <v>9</v>
      </c>
      <c r="J7" s="410">
        <v>2</v>
      </c>
      <c r="K7" s="339">
        <f>VLOOKUP(Table119[[#This Row],[Course]],'TSD-Data'!$A$1:$G$70,6,FALSE)</f>
        <v>40</v>
      </c>
      <c r="L7" s="204">
        <f>Table119[[#This Row],[FY26 NSETC Course '# projections]]*Table119[[#This Row],[FY26 Hours Per Course]]</f>
        <v>80</v>
      </c>
      <c r="M7" s="340">
        <f>Table119[[#This Row],[FY26 NSETC Course '# projections]]-Table119[[#This Row],[FY26 Courses Needed Round UP]]</f>
        <v>-7</v>
      </c>
      <c r="N7" s="341">
        <f t="shared" si="0"/>
        <v>0.23148148148148148</v>
      </c>
      <c r="O7" s="259"/>
      <c r="P7" s="270">
        <v>3</v>
      </c>
      <c r="Q7" s="280">
        <v>25</v>
      </c>
      <c r="R7" s="35">
        <v>6</v>
      </c>
      <c r="S7" s="260">
        <v>0</v>
      </c>
      <c r="T7" s="260">
        <v>1</v>
      </c>
      <c r="U7" s="281">
        <f>(Table119[[#This Row],[FY25 Grads]]+Table119[[#This Row],[FY25 Fails]])/Table119[[#This Row],[FY25 Total Courses]]</f>
        <v>2</v>
      </c>
      <c r="V7" s="140">
        <v>197</v>
      </c>
      <c r="W7" s="276">
        <f t="shared" si="6"/>
        <v>3.0456852791878174E-2</v>
      </c>
      <c r="X7" s="206">
        <v>330</v>
      </c>
      <c r="Y7" s="207">
        <v>14</v>
      </c>
      <c r="Z7" s="208"/>
      <c r="AA7" s="287">
        <v>2</v>
      </c>
      <c r="AB7" s="284">
        <v>25</v>
      </c>
      <c r="AC7" s="288">
        <v>19</v>
      </c>
      <c r="AD7" s="289">
        <v>0</v>
      </c>
      <c r="AE7" s="301">
        <f t="shared" si="7"/>
        <v>9.5</v>
      </c>
      <c r="AF7" s="34">
        <v>291</v>
      </c>
      <c r="AG7" s="302">
        <f t="shared" si="8"/>
        <v>6.5292096219931275E-2</v>
      </c>
      <c r="AH7" s="208"/>
      <c r="AI7" s="280">
        <v>3</v>
      </c>
      <c r="AJ7" s="300">
        <v>25</v>
      </c>
      <c r="AK7" s="260">
        <v>22</v>
      </c>
      <c r="AL7" s="260">
        <v>0</v>
      </c>
      <c r="AM7" s="304">
        <f t="shared" si="9"/>
        <v>7.333333333333333</v>
      </c>
      <c r="AN7" s="310">
        <v>150</v>
      </c>
      <c r="AO7" s="302">
        <f t="shared" si="10"/>
        <v>0.14666666666666667</v>
      </c>
      <c r="AP7" s="306"/>
      <c r="AQ7" s="287">
        <v>1</v>
      </c>
      <c r="AR7" s="287">
        <v>25</v>
      </c>
      <c r="AS7" s="307">
        <v>5</v>
      </c>
      <c r="AT7" s="307">
        <v>0</v>
      </c>
      <c r="AU7" s="311">
        <f>(Table119[[#This Row],[FY22 Grads]]+Table119[[#This Row],[FY22 Fails]])/Table119[[#This Row],[FY22 Total Courses]]</f>
        <v>5</v>
      </c>
      <c r="AV7" s="308">
        <v>96</v>
      </c>
      <c r="AW7" s="302">
        <f t="shared" si="11"/>
        <v>5.2083333333333336E-2</v>
      </c>
      <c r="AX7" s="246" t="s">
        <v>45</v>
      </c>
    </row>
    <row r="8" spans="1:50" s="209" customFormat="1" ht="30" x14ac:dyDescent="0.25">
      <c r="A8" s="477" t="s">
        <v>46</v>
      </c>
      <c r="B8" s="203" t="str">
        <f>VLOOKUP(Table119[[#This Row],[Course]],'TSD-Data'!$A$1:$G$70,7,FALSE)</f>
        <v>N3</v>
      </c>
      <c r="C8" s="479" t="s">
        <v>7</v>
      </c>
      <c r="D8" s="203" t="str">
        <f>VLOOKUP(Table119[[#This Row],[Course]],'TSD-Data'!$A$1:$G$70,2,FALSE)</f>
        <v>A-493-0070</v>
      </c>
      <c r="E8" s="203" t="str">
        <f>VLOOKUP(Table119[[#This Row],[Course]],'TSD-Data'!$A$1:$G$70,3,FALSE)</f>
        <v>450V</v>
      </c>
      <c r="F8" s="69">
        <v>127</v>
      </c>
      <c r="G8" s="203">
        <f>VLOOKUP(Table119[[#This Row],[Course]],'TSD-Data'!$A$1:$G$70,4,FALSE)</f>
        <v>30</v>
      </c>
      <c r="H8" s="275">
        <f>Table119[[#This Row],[FY26 FLT Quota Need]]/Table119[[#This Row],[FY26 Quota Per course]]</f>
        <v>4.2333333333333334</v>
      </c>
      <c r="I8" s="258">
        <f>ROUNDUP(Table119[[#This Row],[FY26 Courses Needed]],0)</f>
        <v>5</v>
      </c>
      <c r="J8" s="410">
        <v>4</v>
      </c>
      <c r="K8" s="339">
        <f>VLOOKUP(Table119[[#This Row],[Course]],'TSD-Data'!$A$1:$G$70,6,FALSE)</f>
        <v>8</v>
      </c>
      <c r="L8" s="204">
        <f>Table119[[#This Row],[FY26 NSETC Course '# projections]]*Table119[[#This Row],[FY26 Hours Per Course]]</f>
        <v>32</v>
      </c>
      <c r="M8" s="340">
        <f>Table119[[#This Row],[FY26 NSETC Course '# projections]]-Table119[[#This Row],[FY26 Courses Needed Round UP]]</f>
        <v>-1</v>
      </c>
      <c r="N8" s="341">
        <f t="shared" si="0"/>
        <v>0.94488188976377951</v>
      </c>
      <c r="O8" s="259"/>
      <c r="P8" s="270">
        <v>4</v>
      </c>
      <c r="Q8" s="280">
        <v>30</v>
      </c>
      <c r="R8" s="35">
        <v>37</v>
      </c>
      <c r="S8" s="260">
        <v>0</v>
      </c>
      <c r="T8" s="260">
        <v>4</v>
      </c>
      <c r="U8" s="281">
        <f>(Table119[[#This Row],[FY25 Grads]]+Table119[[#This Row],[FY25 Fails]])/Table119[[#This Row],[FY25 Total Courses]]</f>
        <v>9.25</v>
      </c>
      <c r="V8" s="140">
        <v>258</v>
      </c>
      <c r="W8" s="276">
        <f t="shared" si="6"/>
        <v>0.1434108527131783</v>
      </c>
      <c r="X8" s="206">
        <v>321</v>
      </c>
      <c r="Y8" s="207">
        <v>11</v>
      </c>
      <c r="Z8" s="208"/>
      <c r="AA8" s="287">
        <v>4</v>
      </c>
      <c r="AB8" s="284">
        <v>30</v>
      </c>
      <c r="AC8" s="288">
        <v>46</v>
      </c>
      <c r="AD8" s="289">
        <v>0</v>
      </c>
      <c r="AE8" s="301">
        <f t="shared" si="7"/>
        <v>11.5</v>
      </c>
      <c r="AF8" s="34">
        <v>299</v>
      </c>
      <c r="AG8" s="302">
        <f t="shared" si="8"/>
        <v>0.15384615384615385</v>
      </c>
      <c r="AH8" s="208"/>
      <c r="AI8" s="280">
        <v>4</v>
      </c>
      <c r="AJ8" s="300">
        <v>30</v>
      </c>
      <c r="AK8" s="260">
        <v>53</v>
      </c>
      <c r="AL8" s="260">
        <v>0</v>
      </c>
      <c r="AM8" s="304">
        <f t="shared" si="9"/>
        <v>13.25</v>
      </c>
      <c r="AN8" s="310">
        <v>74</v>
      </c>
      <c r="AO8" s="302">
        <f t="shared" si="10"/>
        <v>0.71621621621621623</v>
      </c>
      <c r="AP8" s="306"/>
      <c r="AQ8" s="287">
        <v>4</v>
      </c>
      <c r="AR8" s="287">
        <v>25</v>
      </c>
      <c r="AS8" s="307">
        <v>57</v>
      </c>
      <c r="AT8" s="307">
        <v>0</v>
      </c>
      <c r="AU8" s="311">
        <f>(Table119[[#This Row],[FY22 Grads]]+Table119[[#This Row],[FY22 Fails]])/Table119[[#This Row],[FY22 Total Courses]]</f>
        <v>14.25</v>
      </c>
      <c r="AV8" s="308">
        <v>69</v>
      </c>
      <c r="AW8" s="302">
        <f t="shared" si="11"/>
        <v>0.82608695652173914</v>
      </c>
      <c r="AX8" s="246" t="s">
        <v>46</v>
      </c>
    </row>
    <row r="9" spans="1:50" s="209" customFormat="1" ht="30" x14ac:dyDescent="0.25">
      <c r="A9" s="477" t="s">
        <v>37</v>
      </c>
      <c r="B9" s="203" t="str">
        <f>VLOOKUP(Table119[[#This Row],[Course]],'TSD-Data'!$A$1:$G$70,7,FALSE)</f>
        <v>N5</v>
      </c>
      <c r="C9" s="203" t="s">
        <v>86</v>
      </c>
      <c r="D9" s="203" t="str">
        <f>VLOOKUP(Table119[[#This Row],[Course]],'TSD-Data'!$A$1:$G$70,2,FALSE)</f>
        <v>A-493-0665</v>
      </c>
      <c r="E9" s="203" t="str">
        <f>VLOOKUP(Table119[[#This Row],[Course]],'TSD-Data'!$A$1:$G$70,3,FALSE)</f>
        <v>10KW</v>
      </c>
      <c r="F9" s="203">
        <v>409</v>
      </c>
      <c r="G9" s="203">
        <f>VLOOKUP(Table119[[#This Row],[Course]],'TSD-Data'!$A$1:$G$70,4,FALSE)</f>
        <v>45</v>
      </c>
      <c r="H9" s="275">
        <f>Table119[[#This Row],[FY26 FLT Quota Need]]/Table119[[#This Row],[FY26 Quota Per course]]</f>
        <v>9.0888888888888886</v>
      </c>
      <c r="I9" s="258">
        <f>ROUNDUP(Table119[[#This Row],[FY26 Courses Needed]],0)</f>
        <v>10</v>
      </c>
      <c r="J9" s="410">
        <v>10</v>
      </c>
      <c r="K9" s="339">
        <f>VLOOKUP(Table119[[#This Row],[Course]],'TSD-Data'!$A$1:$G$70,6,FALSE)</f>
        <v>24</v>
      </c>
      <c r="L9" s="204">
        <f>Table119[[#This Row],[FY26 NSETC Course '# projections]]*Table119[[#This Row],[FY26 Hours Per Course]]</f>
        <v>240</v>
      </c>
      <c r="M9" s="204">
        <f>Table119[[#This Row],[FY26 NSETC Course '# projections]]-Table119[[#This Row],[FY26 Courses Needed Round UP]]</f>
        <v>0</v>
      </c>
      <c r="N9" s="341">
        <f t="shared" si="0"/>
        <v>1.1002444987775062</v>
      </c>
      <c r="O9" s="259"/>
      <c r="P9" s="270">
        <v>11</v>
      </c>
      <c r="Q9" s="280">
        <v>45</v>
      </c>
      <c r="R9" s="35">
        <v>196</v>
      </c>
      <c r="S9" s="260">
        <v>3</v>
      </c>
      <c r="T9" s="260">
        <v>29</v>
      </c>
      <c r="U9" s="281">
        <f>(Table119[[#This Row],[FY25 Grads]]+Table119[[#This Row],[FY25 Fails]])/Table119[[#This Row],[FY25 Total Courses]]</f>
        <v>18.09090909090909</v>
      </c>
      <c r="V9" s="140">
        <v>464</v>
      </c>
      <c r="W9" s="276">
        <f t="shared" si="6"/>
        <v>0.42887931034482757</v>
      </c>
      <c r="X9" s="206">
        <v>465</v>
      </c>
      <c r="Y9" s="207">
        <v>16</v>
      </c>
      <c r="Z9" s="208"/>
      <c r="AA9" s="287">
        <v>10</v>
      </c>
      <c r="AB9" s="284">
        <v>45</v>
      </c>
      <c r="AC9" s="288">
        <v>262</v>
      </c>
      <c r="AD9" s="289">
        <v>11</v>
      </c>
      <c r="AE9" s="301">
        <f t="shared" si="7"/>
        <v>27.3</v>
      </c>
      <c r="AF9" s="34">
        <v>406</v>
      </c>
      <c r="AG9" s="302">
        <f t="shared" si="8"/>
        <v>0.67241379310344829</v>
      </c>
      <c r="AH9" s="208"/>
      <c r="AI9" s="280">
        <v>17</v>
      </c>
      <c r="AJ9" s="300">
        <v>30</v>
      </c>
      <c r="AK9" s="260">
        <v>284</v>
      </c>
      <c r="AL9" s="260">
        <v>10</v>
      </c>
      <c r="AM9" s="304">
        <f t="shared" si="9"/>
        <v>17.294117647058822</v>
      </c>
      <c r="AN9" s="310">
        <f>228+261</f>
        <v>489</v>
      </c>
      <c r="AO9" s="302">
        <f t="shared" si="10"/>
        <v>0.60122699386503065</v>
      </c>
      <c r="AP9" s="306"/>
      <c r="AQ9" s="287">
        <v>10</v>
      </c>
      <c r="AR9" s="287">
        <v>30</v>
      </c>
      <c r="AS9" s="307">
        <v>249</v>
      </c>
      <c r="AT9" s="307">
        <v>4</v>
      </c>
      <c r="AU9" s="311">
        <f>(Table119[[#This Row],[FY22 Grads]]+Table119[[#This Row],[FY22 Fails]])/Table119[[#This Row],[FY22 Total Courses]]</f>
        <v>25.3</v>
      </c>
      <c r="AV9" s="308">
        <v>352</v>
      </c>
      <c r="AW9" s="302">
        <f t="shared" si="11"/>
        <v>0.71875</v>
      </c>
      <c r="AX9" s="246" t="s">
        <v>620</v>
      </c>
    </row>
    <row r="10" spans="1:50" s="209" customFormat="1" ht="47.25" x14ac:dyDescent="0.25">
      <c r="A10" s="474" t="s">
        <v>55</v>
      </c>
      <c r="B10" s="203" t="str">
        <f>VLOOKUP(Table119[[#This Row],[Course]],'TSD-Data'!$A$1:$G$70,7,FALSE)</f>
        <v>N5</v>
      </c>
      <c r="C10" s="479" t="s">
        <v>7</v>
      </c>
      <c r="D10" s="203" t="str">
        <f>VLOOKUP(Table119[[#This Row],[Course]],'TSD-Data'!$A$1:$G$70,2,FALSE)</f>
        <v>A-493-0103</v>
      </c>
      <c r="E10" s="203" t="str">
        <f>VLOOKUP(Table119[[#This Row],[Course]],'TSD-Data'!$A$1:$G$70,3,FALSE)</f>
        <v>12JY</v>
      </c>
      <c r="F10" s="69">
        <v>2190</v>
      </c>
      <c r="G10" s="203">
        <f>VLOOKUP(Table119[[#This Row],[Course]],'TSD-Data'!$A$1:$G$70,4,FALSE)</f>
        <v>25</v>
      </c>
      <c r="H10" s="275">
        <f>Table119[[#This Row],[FY26 FLT Quota Need]]/Table119[[#This Row],[FY26 Quota Per course]]</f>
        <v>87.6</v>
      </c>
      <c r="I10" s="258">
        <f>ROUNDUP(Table119[[#This Row],[FY26 Courses Needed]],0)</f>
        <v>88</v>
      </c>
      <c r="J10" s="410">
        <v>36</v>
      </c>
      <c r="K10" s="339">
        <f>VLOOKUP(Table119[[#This Row],[Course]],'TSD-Data'!$A$1:$G$70,6,FALSE)</f>
        <v>40</v>
      </c>
      <c r="L10" s="204">
        <f>Table119[[#This Row],[FY26 NSETC Course '# projections]]*Table119[[#This Row],[FY26 Hours Per Course]]</f>
        <v>1440</v>
      </c>
      <c r="M10" s="340">
        <f>Table119[[#This Row],[FY26 NSETC Course '# projections]]-Table119[[#This Row],[FY26 Courses Needed Round UP]]</f>
        <v>-52</v>
      </c>
      <c r="N10" s="341">
        <f t="shared" si="0"/>
        <v>0.41095890410958902</v>
      </c>
      <c r="O10" s="259"/>
      <c r="P10" s="270">
        <v>35</v>
      </c>
      <c r="Q10" s="280">
        <v>25</v>
      </c>
      <c r="R10" s="35">
        <v>446</v>
      </c>
      <c r="S10" s="260">
        <v>1</v>
      </c>
      <c r="T10" s="260">
        <v>88</v>
      </c>
      <c r="U10" s="281">
        <f>(Table119[[#This Row],[FY25 Grads]]+Table119[[#This Row],[FY25 Fails]])/Table119[[#This Row],[FY25 Total Courses]]</f>
        <v>12.771428571428572</v>
      </c>
      <c r="V10" s="140">
        <v>2046</v>
      </c>
      <c r="W10" s="276">
        <f t="shared" si="6"/>
        <v>0.21847507331378299</v>
      </c>
      <c r="X10" s="206">
        <v>2230</v>
      </c>
      <c r="Y10" s="207">
        <v>90</v>
      </c>
      <c r="Z10" s="208"/>
      <c r="AA10" s="287">
        <v>32</v>
      </c>
      <c r="AB10" s="284">
        <v>25</v>
      </c>
      <c r="AC10" s="290">
        <v>611</v>
      </c>
      <c r="AD10" s="289">
        <v>0</v>
      </c>
      <c r="AE10" s="301">
        <f t="shared" si="7"/>
        <v>19.09375</v>
      </c>
      <c r="AF10" s="34">
        <v>2051</v>
      </c>
      <c r="AG10" s="302">
        <f t="shared" si="8"/>
        <v>0.29790346172598731</v>
      </c>
      <c r="AH10" s="208"/>
      <c r="AI10" s="280">
        <v>21</v>
      </c>
      <c r="AJ10" s="300">
        <v>25</v>
      </c>
      <c r="AK10" s="260">
        <v>435</v>
      </c>
      <c r="AL10" s="260">
        <v>1</v>
      </c>
      <c r="AM10" s="304">
        <f t="shared" si="9"/>
        <v>20.761904761904763</v>
      </c>
      <c r="AN10" s="310">
        <v>408</v>
      </c>
      <c r="AO10" s="302">
        <f t="shared" si="10"/>
        <v>1.0686274509803921</v>
      </c>
      <c r="AP10" s="306"/>
      <c r="AQ10" s="287">
        <v>18</v>
      </c>
      <c r="AR10" s="287">
        <v>25</v>
      </c>
      <c r="AS10" s="307">
        <v>328</v>
      </c>
      <c r="AT10" s="307">
        <v>1</v>
      </c>
      <c r="AU10" s="311">
        <f>(Table119[[#This Row],[FY22 Grads]]+Table119[[#This Row],[FY22 Fails]])/Table119[[#This Row],[FY22 Total Courses]]</f>
        <v>18.277777777777779</v>
      </c>
      <c r="AV10" s="308">
        <v>365</v>
      </c>
      <c r="AW10" s="302">
        <f t="shared" si="11"/>
        <v>0.90136986301369859</v>
      </c>
      <c r="AX10" s="246" t="s">
        <v>429</v>
      </c>
    </row>
    <row r="11" spans="1:50" s="209" customFormat="1" ht="15.75" x14ac:dyDescent="0.25">
      <c r="A11" s="474" t="s">
        <v>47</v>
      </c>
      <c r="B11" s="203" t="str">
        <f>VLOOKUP(Table119[[#This Row],[Course]],'TSD-Data'!$A$1:$G$70,7,FALSE)</f>
        <v>N3</v>
      </c>
      <c r="C11" s="479" t="s">
        <v>7</v>
      </c>
      <c r="D11" s="203" t="str">
        <f>VLOOKUP(Table119[[#This Row],[Course]],'TSD-Data'!$A$1:$G$70,2,FALSE)</f>
        <v>A-493-0030</v>
      </c>
      <c r="E11" s="203" t="str">
        <f>VLOOKUP(Table119[[#This Row],[Course]],'TSD-Data'!$A$1:$G$70,3,FALSE)</f>
        <v>286X</v>
      </c>
      <c r="F11" s="69">
        <v>932</v>
      </c>
      <c r="G11" s="203">
        <f>VLOOKUP(Table119[[#This Row],[Course]],'TSD-Data'!$A$1:$G$70,4,FALSE)</f>
        <v>25</v>
      </c>
      <c r="H11" s="275">
        <f>Table119[[#This Row],[FY26 FLT Quota Need]]/Table119[[#This Row],[FY26 Quota Per course]]</f>
        <v>37.28</v>
      </c>
      <c r="I11" s="258">
        <f>ROUNDUP(Table119[[#This Row],[FY26 Courses Needed]],0)</f>
        <v>38</v>
      </c>
      <c r="J11" s="410">
        <v>5</v>
      </c>
      <c r="K11" s="339">
        <f>VLOOKUP(Table119[[#This Row],[Course]],'TSD-Data'!$A$1:$G$70,6,FALSE)</f>
        <v>40</v>
      </c>
      <c r="L11" s="204">
        <f>Table119[[#This Row],[FY26 NSETC Course '# projections]]*Table119[[#This Row],[FY26 Hours Per Course]]</f>
        <v>200</v>
      </c>
      <c r="M11" s="340">
        <f>Table119[[#This Row],[FY26 NSETC Course '# projections]]-Table119[[#This Row],[FY26 Courses Needed Round UP]]</f>
        <v>-33</v>
      </c>
      <c r="N11" s="341">
        <f t="shared" si="0"/>
        <v>0.13412017167381973</v>
      </c>
      <c r="O11" s="259"/>
      <c r="P11" s="270">
        <v>6</v>
      </c>
      <c r="Q11" s="280">
        <v>25</v>
      </c>
      <c r="R11" s="35">
        <v>52</v>
      </c>
      <c r="S11" s="260">
        <v>7</v>
      </c>
      <c r="T11" s="260">
        <v>15</v>
      </c>
      <c r="U11" s="281">
        <f>(Table119[[#This Row],[FY25 Grads]]+Table119[[#This Row],[FY25 Fails]])/Table119[[#This Row],[FY25 Total Courses]]</f>
        <v>9.8333333333333339</v>
      </c>
      <c r="V11" s="140">
        <v>707</v>
      </c>
      <c r="W11" s="276">
        <f t="shared" si="6"/>
        <v>8.3451202263083446E-2</v>
      </c>
      <c r="X11" s="206">
        <v>821</v>
      </c>
      <c r="Y11" s="207">
        <v>33</v>
      </c>
      <c r="Z11" s="208"/>
      <c r="AA11" s="287">
        <v>10</v>
      </c>
      <c r="AB11" s="284">
        <v>25</v>
      </c>
      <c r="AC11" s="290">
        <v>145</v>
      </c>
      <c r="AD11" s="289">
        <v>12</v>
      </c>
      <c r="AE11" s="301">
        <f t="shared" si="7"/>
        <v>15.7</v>
      </c>
      <c r="AF11" s="34">
        <v>860</v>
      </c>
      <c r="AG11" s="302">
        <f t="shared" si="8"/>
        <v>0.18255813953488373</v>
      </c>
      <c r="AH11" s="208"/>
      <c r="AI11" s="280">
        <v>7</v>
      </c>
      <c r="AJ11" s="300">
        <v>25</v>
      </c>
      <c r="AK11" s="260">
        <v>124</v>
      </c>
      <c r="AL11" s="260">
        <v>19</v>
      </c>
      <c r="AM11" s="304">
        <f t="shared" si="9"/>
        <v>20.428571428571427</v>
      </c>
      <c r="AN11" s="310">
        <v>603</v>
      </c>
      <c r="AO11" s="302">
        <f t="shared" si="10"/>
        <v>0.23714759535655058</v>
      </c>
      <c r="AP11" s="306"/>
      <c r="AQ11" s="287">
        <v>5</v>
      </c>
      <c r="AR11" s="287">
        <v>25</v>
      </c>
      <c r="AS11" s="307">
        <v>82</v>
      </c>
      <c r="AT11" s="307">
        <v>9</v>
      </c>
      <c r="AU11" s="311">
        <f>(Table119[[#This Row],[FY22 Grads]]+Table119[[#This Row],[FY22 Fails]])/Table119[[#This Row],[FY22 Total Courses]]</f>
        <v>18.2</v>
      </c>
      <c r="AV11" s="308">
        <v>602</v>
      </c>
      <c r="AW11" s="302">
        <f t="shared" si="11"/>
        <v>0.15116279069767441</v>
      </c>
      <c r="AX11" s="246" t="s">
        <v>430</v>
      </c>
    </row>
    <row r="12" spans="1:50" s="209" customFormat="1" ht="31.5" x14ac:dyDescent="0.25">
      <c r="A12" s="474" t="s">
        <v>56</v>
      </c>
      <c r="B12" s="203" t="str">
        <f>VLOOKUP(Table119[[#This Row],[Course]],'TSD-Data'!$A$1:$G$70,7,FALSE)</f>
        <v>N5</v>
      </c>
      <c r="C12" s="479" t="s">
        <v>7</v>
      </c>
      <c r="D12" s="203" t="str">
        <f>VLOOKUP(Table119[[#This Row],[Course]],'TSD-Data'!$A$1:$G$70,2,FALSE)</f>
        <v>A-493-0021</v>
      </c>
      <c r="E12" s="203" t="str">
        <f>VLOOKUP(Table119[[#This Row],[Course]],'TSD-Data'!$A$1:$G$70,3,FALSE)</f>
        <v>18BN</v>
      </c>
      <c r="F12" s="69">
        <v>475</v>
      </c>
      <c r="G12" s="203">
        <f>VLOOKUP(Table119[[#This Row],[Course]],'TSD-Data'!$A$1:$G$70,4,FALSE)</f>
        <v>35</v>
      </c>
      <c r="H12" s="275">
        <f>Table119[[#This Row],[FY26 FLT Quota Need]]/Table119[[#This Row],[FY26 Quota Per course]]</f>
        <v>13.571428571428571</v>
      </c>
      <c r="I12" s="258">
        <f>ROUNDUP(Table119[[#This Row],[FY26 Courses Needed]],0)</f>
        <v>14</v>
      </c>
      <c r="J12" s="410">
        <v>5</v>
      </c>
      <c r="K12" s="339">
        <f>VLOOKUP(Table119[[#This Row],[Course]],'TSD-Data'!$A$1:$G$70,6,FALSE)</f>
        <v>30</v>
      </c>
      <c r="L12" s="204">
        <f>Table119[[#This Row],[FY26 NSETC Course '# projections]]*Table119[[#This Row],[FY26 Hours Per Course]]</f>
        <v>150</v>
      </c>
      <c r="M12" s="340">
        <f>Table119[[#This Row],[FY26 NSETC Course '# projections]]-Table119[[#This Row],[FY26 Courses Needed Round UP]]</f>
        <v>-9</v>
      </c>
      <c r="N12" s="341">
        <f t="shared" si="0"/>
        <v>0.36842105263157893</v>
      </c>
      <c r="O12" s="259"/>
      <c r="P12" s="270">
        <v>3</v>
      </c>
      <c r="Q12" s="280">
        <v>35</v>
      </c>
      <c r="R12" s="35">
        <v>13</v>
      </c>
      <c r="S12" s="260">
        <v>0</v>
      </c>
      <c r="T12" s="260">
        <v>0</v>
      </c>
      <c r="U12" s="281">
        <f>(Table119[[#This Row],[FY25 Grads]]+Table119[[#This Row],[FY25 Fails]])/Table119[[#This Row],[FY25 Total Courses]]</f>
        <v>4.333333333333333</v>
      </c>
      <c r="V12" s="140">
        <v>620</v>
      </c>
      <c r="W12" s="276">
        <f t="shared" si="6"/>
        <v>2.0967741935483872E-2</v>
      </c>
      <c r="X12" s="206">
        <v>418</v>
      </c>
      <c r="Y12" s="207">
        <v>12</v>
      </c>
      <c r="Z12" s="208"/>
      <c r="AA12" s="287">
        <v>7</v>
      </c>
      <c r="AB12" s="284">
        <v>35</v>
      </c>
      <c r="AC12" s="288">
        <v>126</v>
      </c>
      <c r="AD12" s="289">
        <v>1</v>
      </c>
      <c r="AE12" s="301">
        <f t="shared" si="7"/>
        <v>18.142857142857142</v>
      </c>
      <c r="AF12" s="34">
        <v>494</v>
      </c>
      <c r="AG12" s="302">
        <f t="shared" si="8"/>
        <v>0.25708502024291496</v>
      </c>
      <c r="AH12" s="208"/>
      <c r="AI12" s="280">
        <v>2</v>
      </c>
      <c r="AJ12" s="300">
        <v>35</v>
      </c>
      <c r="AK12" s="260">
        <v>40</v>
      </c>
      <c r="AL12" s="260">
        <v>0</v>
      </c>
      <c r="AM12" s="304">
        <f t="shared" si="9"/>
        <v>20</v>
      </c>
      <c r="AN12" s="310">
        <v>266</v>
      </c>
      <c r="AO12" s="302">
        <f t="shared" si="10"/>
        <v>0.15037593984962405</v>
      </c>
      <c r="AP12" s="306"/>
      <c r="AQ12" s="287">
        <v>1</v>
      </c>
      <c r="AR12" s="287">
        <v>25</v>
      </c>
      <c r="AS12" s="307">
        <v>17</v>
      </c>
      <c r="AT12" s="307">
        <v>0</v>
      </c>
      <c r="AU12" s="311">
        <f>(Table119[[#This Row],[FY22 Grads]]+Table119[[#This Row],[FY22 Fails]])/Table119[[#This Row],[FY22 Total Courses]]</f>
        <v>17</v>
      </c>
      <c r="AV12" s="308">
        <v>353</v>
      </c>
      <c r="AW12" s="302">
        <f t="shared" si="11"/>
        <v>4.8158640226628892E-2</v>
      </c>
      <c r="AX12" s="246" t="s">
        <v>56</v>
      </c>
    </row>
    <row r="13" spans="1:50" s="209" customFormat="1" ht="30" x14ac:dyDescent="0.25">
      <c r="A13" s="477" t="s">
        <v>48</v>
      </c>
      <c r="B13" s="203" t="str">
        <f>VLOOKUP(Table119[[#This Row],[Course]],'TSD-Data'!$A$1:$G$70,7,FALSE)</f>
        <v>N3</v>
      </c>
      <c r="C13" s="479" t="s">
        <v>7</v>
      </c>
      <c r="D13" s="203" t="str">
        <f>VLOOKUP(Table119[[#This Row],[Course]],'TSD-Data'!$A$1:$G$70,2,FALSE)</f>
        <v>A-760-2166</v>
      </c>
      <c r="E13" s="203" t="str">
        <f>VLOOKUP(Table119[[#This Row],[Course]],'TSD-Data'!$A$1:$G$70,3,FALSE)</f>
        <v>438J</v>
      </c>
      <c r="F13" s="69">
        <v>185</v>
      </c>
      <c r="G13" s="203">
        <f>VLOOKUP(Table119[[#This Row],[Course]],'TSD-Data'!$A$1:$G$70,4,FALSE)</f>
        <v>25</v>
      </c>
      <c r="H13" s="275">
        <f>Table119[[#This Row],[FY26 FLT Quota Need]]/Table119[[#This Row],[FY26 Quota Per course]]</f>
        <v>7.4</v>
      </c>
      <c r="I13" s="258">
        <f>ROUNDUP(Table119[[#This Row],[FY26 Courses Needed]],0)</f>
        <v>8</v>
      </c>
      <c r="J13" s="410">
        <v>3</v>
      </c>
      <c r="K13" s="339">
        <f>VLOOKUP(Table119[[#This Row],[Course]],'TSD-Data'!$A$1:$G$70,6,FALSE)</f>
        <v>16</v>
      </c>
      <c r="L13" s="204">
        <f>Table119[[#This Row],[FY26 NSETC Course '# projections]]*Table119[[#This Row],[FY26 Hours Per Course]]</f>
        <v>48</v>
      </c>
      <c r="M13" s="340">
        <f>Table119[[#This Row],[FY26 NSETC Course '# projections]]-Table119[[#This Row],[FY26 Courses Needed Round UP]]</f>
        <v>-5</v>
      </c>
      <c r="N13" s="341">
        <f t="shared" si="0"/>
        <v>0.40540540540540543</v>
      </c>
      <c r="O13" s="259"/>
      <c r="P13" s="270">
        <v>3</v>
      </c>
      <c r="Q13" s="280">
        <v>25</v>
      </c>
      <c r="R13" s="35">
        <v>12</v>
      </c>
      <c r="S13" s="260">
        <v>0</v>
      </c>
      <c r="T13" s="260">
        <v>0</v>
      </c>
      <c r="U13" s="281">
        <f>(Table119[[#This Row],[FY25 Grads]]+Table119[[#This Row],[FY25 Fails]])/Table119[[#This Row],[FY25 Total Courses]]</f>
        <v>4</v>
      </c>
      <c r="V13" s="140">
        <v>61</v>
      </c>
      <c r="W13" s="276">
        <f t="shared" si="6"/>
        <v>0.19672131147540983</v>
      </c>
      <c r="X13" s="206">
        <v>131</v>
      </c>
      <c r="Y13" s="207">
        <v>6</v>
      </c>
      <c r="Z13" s="208"/>
      <c r="AA13" s="287">
        <v>1</v>
      </c>
      <c r="AB13" s="284">
        <v>25</v>
      </c>
      <c r="AC13" s="288">
        <v>7</v>
      </c>
      <c r="AD13" s="289">
        <v>0</v>
      </c>
      <c r="AE13" s="301">
        <f t="shared" si="7"/>
        <v>7</v>
      </c>
      <c r="AF13" s="34">
        <v>113</v>
      </c>
      <c r="AG13" s="302">
        <f t="shared" si="8"/>
        <v>6.1946902654867256E-2</v>
      </c>
      <c r="AH13" s="208"/>
      <c r="AI13" s="280">
        <v>2</v>
      </c>
      <c r="AJ13" s="300">
        <v>25</v>
      </c>
      <c r="AK13" s="260">
        <v>25</v>
      </c>
      <c r="AL13" s="260">
        <v>1</v>
      </c>
      <c r="AM13" s="304">
        <f t="shared" si="9"/>
        <v>13</v>
      </c>
      <c r="AN13" s="310">
        <v>30</v>
      </c>
      <c r="AO13" s="302">
        <f t="shared" si="10"/>
        <v>0.8666666666666667</v>
      </c>
      <c r="AP13" s="306"/>
      <c r="AQ13" s="287"/>
      <c r="AR13" s="287"/>
      <c r="AS13" s="292"/>
      <c r="AT13" s="292"/>
      <c r="AU13" s="311"/>
      <c r="AV13" s="308"/>
      <c r="AW13" s="302"/>
      <c r="AX13" s="246" t="s">
        <v>48</v>
      </c>
    </row>
    <row r="14" spans="1:50" s="209" customFormat="1" ht="31.5" x14ac:dyDescent="0.25">
      <c r="A14" s="474" t="s">
        <v>17</v>
      </c>
      <c r="B14" s="203" t="str">
        <f>VLOOKUP(Table119[[#This Row],[Course]],'TSD-Data'!$A$1:$G$70,7,FALSE)</f>
        <v>N4</v>
      </c>
      <c r="C14" s="479" t="s">
        <v>7</v>
      </c>
      <c r="D14" s="203" t="str">
        <f>VLOOKUP(Table119[[#This Row],[Course]],'TSD-Data'!$A$1:$G$70,2,FALSE)</f>
        <v>A-493-0012</v>
      </c>
      <c r="E14" s="203">
        <f>VLOOKUP(Table119[[#This Row],[Course]],'TSD-Data'!$A$1:$G$70,3,FALSE)</f>
        <v>3682</v>
      </c>
      <c r="F14" s="203">
        <v>1008</v>
      </c>
      <c r="G14" s="203">
        <f>VLOOKUP(Table119[[#This Row],[Course]],'TSD-Data'!$A$1:$G$70,4,FALSE)</f>
        <v>40</v>
      </c>
      <c r="H14" s="275">
        <f>Table119[[#This Row],[FY26 FLT Quota Need]]/Table119[[#This Row],[FY26 Quota Per course]]</f>
        <v>25.2</v>
      </c>
      <c r="I14" s="258">
        <f>ROUNDUP(Table119[[#This Row],[FY26 Courses Needed]],0)</f>
        <v>26</v>
      </c>
      <c r="J14" s="410">
        <v>32</v>
      </c>
      <c r="K14" s="339">
        <f>VLOOKUP(Table119[[#This Row],[Course]],'TSD-Data'!$A$1:$G$70,6,FALSE)</f>
        <v>40</v>
      </c>
      <c r="L14" s="204">
        <f>Table119[[#This Row],[FY26 NSETC Course '# projections]]*Table119[[#This Row],[FY26 Hours Per Course]]</f>
        <v>1280</v>
      </c>
      <c r="M14" s="340">
        <f>Table119[[#This Row],[FY26 NSETC Course '# projections]]-Table119[[#This Row],[FY26 Courses Needed Round UP]]</f>
        <v>6</v>
      </c>
      <c r="N14" s="341">
        <f t="shared" si="0"/>
        <v>1.2698412698412698</v>
      </c>
      <c r="O14" s="259"/>
      <c r="P14" s="270">
        <v>29</v>
      </c>
      <c r="Q14" s="280">
        <v>40</v>
      </c>
      <c r="R14" s="409">
        <v>402</v>
      </c>
      <c r="S14" s="260">
        <v>0</v>
      </c>
      <c r="T14" s="260">
        <v>62</v>
      </c>
      <c r="U14" s="281">
        <f>(Table119[[#This Row],[FY25 Grads]]+Table119[[#This Row],[FY25 Fails]])/Table119[[#This Row],[FY25 Total Courses]]</f>
        <v>13.862068965517242</v>
      </c>
      <c r="V14" s="140">
        <v>661</v>
      </c>
      <c r="W14" s="276">
        <f t="shared" si="6"/>
        <v>0.60816944024205744</v>
      </c>
      <c r="X14" s="271">
        <v>571</v>
      </c>
      <c r="Y14" s="273">
        <v>15</v>
      </c>
      <c r="Z14" s="208"/>
      <c r="AA14" s="283">
        <v>20</v>
      </c>
      <c r="AB14" s="284">
        <v>40</v>
      </c>
      <c r="AC14" s="285">
        <v>520</v>
      </c>
      <c r="AD14" s="286">
        <v>35</v>
      </c>
      <c r="AE14" s="301">
        <f t="shared" si="7"/>
        <v>27.75</v>
      </c>
      <c r="AF14" s="34">
        <v>573</v>
      </c>
      <c r="AG14" s="302">
        <f t="shared" si="8"/>
        <v>0.96858638743455494</v>
      </c>
      <c r="AH14" s="208"/>
      <c r="AI14" s="280">
        <v>23</v>
      </c>
      <c r="AJ14" s="322">
        <v>40</v>
      </c>
      <c r="AK14" s="260">
        <v>610</v>
      </c>
      <c r="AL14" s="260">
        <v>3</v>
      </c>
      <c r="AM14" s="304">
        <f t="shared" si="9"/>
        <v>26.652173913043477</v>
      </c>
      <c r="AN14" s="305">
        <v>760</v>
      </c>
      <c r="AO14" s="302">
        <f t="shared" si="10"/>
        <v>0.80657894736842106</v>
      </c>
      <c r="AP14" s="306"/>
      <c r="AQ14" s="287"/>
      <c r="AR14" s="287"/>
      <c r="AS14" s="307"/>
      <c r="AT14" s="307"/>
      <c r="AU14" s="321"/>
      <c r="AV14" s="308"/>
      <c r="AW14" s="309"/>
      <c r="AX14" s="269" t="s">
        <v>17</v>
      </c>
    </row>
    <row r="15" spans="1:50" s="209" customFormat="1" ht="31.5" x14ac:dyDescent="0.25">
      <c r="A15" s="474" t="s">
        <v>28</v>
      </c>
      <c r="B15" s="203" t="str">
        <f>VLOOKUP(Table119[[#This Row],[Course]],'TSD-Data'!$A$1:$G$70,7,FALSE)</f>
        <v>N4</v>
      </c>
      <c r="C15" s="479" t="s">
        <v>7</v>
      </c>
      <c r="D15" s="203" t="str">
        <f>VLOOKUP(Table119[[#This Row],[Course]],'TSD-Data'!$A$1:$G$70,2,FALSE)</f>
        <v>A-493-0013</v>
      </c>
      <c r="E15" s="203">
        <f>VLOOKUP(Table119[[#This Row],[Course]],'TSD-Data'!$A$1:$G$70,3,FALSE)</f>
        <v>3683</v>
      </c>
      <c r="F15" s="203">
        <v>1204</v>
      </c>
      <c r="G15" s="203">
        <f>VLOOKUP(Table119[[#This Row],[Course]],'TSD-Data'!$A$1:$G$70,4,FALSE)</f>
        <v>40</v>
      </c>
      <c r="H15" s="275">
        <f>Table119[[#This Row],[FY26 FLT Quota Need]]/Table119[[#This Row],[FY26 Quota Per course]]</f>
        <v>30.1</v>
      </c>
      <c r="I15" s="258">
        <f>ROUNDUP(Table119[[#This Row],[FY26 Courses Needed]],0)</f>
        <v>31</v>
      </c>
      <c r="J15" s="410">
        <v>22</v>
      </c>
      <c r="K15" s="339">
        <f>VLOOKUP(Table119[[#This Row],[Course]],'TSD-Data'!$A$1:$G$70,6,FALSE)</f>
        <v>24</v>
      </c>
      <c r="L15" s="339">
        <f>Table119[[#This Row],[FY26 NSETC Course '# projections]]*Table119[[#This Row],[FY26 Hours Per Course]]</f>
        <v>528</v>
      </c>
      <c r="M15" s="340">
        <f>Table119[[#This Row],[FY26 NSETC Course '# projections]]-Table119[[#This Row],[FY26 Courses Needed Round UP]]</f>
        <v>-9</v>
      </c>
      <c r="N15" s="341">
        <f t="shared" si="0"/>
        <v>0.73089700996677742</v>
      </c>
      <c r="O15" s="259"/>
      <c r="P15" s="270">
        <v>20</v>
      </c>
      <c r="Q15" s="270">
        <v>40</v>
      </c>
      <c r="R15" s="277">
        <v>133</v>
      </c>
      <c r="S15" s="140">
        <v>0</v>
      </c>
      <c r="T15" s="140">
        <v>18</v>
      </c>
      <c r="U15" s="281">
        <f>(Table119[[#This Row],[FY25 Grads]]+Table119[[#This Row],[FY25 Fails]])/Table119[[#This Row],[FY25 Total Courses]]</f>
        <v>6.65</v>
      </c>
      <c r="V15" s="140">
        <v>787</v>
      </c>
      <c r="W15" s="276">
        <f t="shared" si="6"/>
        <v>0.16899618805590852</v>
      </c>
      <c r="X15" s="206">
        <v>381</v>
      </c>
      <c r="Y15" s="272">
        <v>10</v>
      </c>
      <c r="Z15" s="208"/>
      <c r="AA15" s="283">
        <v>23</v>
      </c>
      <c r="AB15" s="284">
        <v>40</v>
      </c>
      <c r="AC15" s="285">
        <v>401</v>
      </c>
      <c r="AD15" s="286">
        <v>19</v>
      </c>
      <c r="AE15" s="301">
        <f t="shared" si="7"/>
        <v>18.260869565217391</v>
      </c>
      <c r="AF15" s="34">
        <v>473</v>
      </c>
      <c r="AG15" s="302">
        <f t="shared" si="8"/>
        <v>0.88794926004228325</v>
      </c>
      <c r="AH15" s="208"/>
      <c r="AI15" s="270">
        <v>25</v>
      </c>
      <c r="AJ15" s="323">
        <v>40</v>
      </c>
      <c r="AK15" s="140">
        <v>469</v>
      </c>
      <c r="AL15" s="140">
        <v>15</v>
      </c>
      <c r="AM15" s="304">
        <f t="shared" si="9"/>
        <v>19.36</v>
      </c>
      <c r="AN15" s="305">
        <v>1000</v>
      </c>
      <c r="AO15" s="302">
        <f t="shared" si="10"/>
        <v>0.48399999999999999</v>
      </c>
      <c r="AP15" s="306"/>
      <c r="AQ15" s="287"/>
      <c r="AR15" s="287"/>
      <c r="AS15" s="307"/>
      <c r="AT15" s="307"/>
      <c r="AU15" s="321"/>
      <c r="AV15" s="308"/>
      <c r="AW15" s="309"/>
      <c r="AX15" s="269" t="s">
        <v>28</v>
      </c>
    </row>
    <row r="16" spans="1:50" s="209" customFormat="1" ht="47.25" x14ac:dyDescent="0.25">
      <c r="A16" s="480" t="s">
        <v>57</v>
      </c>
      <c r="B16" s="203" t="str">
        <f>VLOOKUP(Table119[[#This Row],[Course]],'TSD-Data'!$A$1:$G$70,7,FALSE)</f>
        <v>N5</v>
      </c>
      <c r="C16" s="203" t="s">
        <v>86</v>
      </c>
      <c r="D16" s="203" t="str">
        <f>VLOOKUP(Table119[[#This Row],[Course]],'TSD-Data'!$A$1:$G$70,2,FALSE)</f>
        <v>A-493-0099</v>
      </c>
      <c r="E16" s="203" t="str">
        <f>VLOOKUP(Table119[[#This Row],[Course]],'TSD-Data'!$A$1:$G$70,3,FALSE)</f>
        <v>12JW</v>
      </c>
      <c r="F16" s="203">
        <v>1231</v>
      </c>
      <c r="G16" s="203">
        <f>VLOOKUP(Table119[[#This Row],[Course]],'TSD-Data'!$A$1:$G$70,4,FALSE)</f>
        <v>45</v>
      </c>
      <c r="H16" s="275">
        <f>Table119[[#This Row],[FY26 FLT Quota Need]]/Table119[[#This Row],[FY26 Quota Per course]]</f>
        <v>27.355555555555554</v>
      </c>
      <c r="I16" s="258">
        <f>ROUNDUP(Table119[[#This Row],[FY26 Courses Needed]],0)</f>
        <v>28</v>
      </c>
      <c r="J16" s="410">
        <v>21</v>
      </c>
      <c r="K16" s="339">
        <f>VLOOKUP(Table119[[#This Row],[Course]],'TSD-Data'!$A$1:$G$70,6,FALSE)</f>
        <v>24</v>
      </c>
      <c r="L16" s="204">
        <f>Table119[[#This Row],[FY26 NSETC Course '# projections]]*Table119[[#This Row],[FY26 Hours Per Course]]</f>
        <v>504</v>
      </c>
      <c r="M16" s="340">
        <f>Table119[[#This Row],[FY26 NSETC Course '# projections]]-Table119[[#This Row],[FY26 Courses Needed Round UP]]</f>
        <v>-7</v>
      </c>
      <c r="N16" s="341">
        <f t="shared" si="0"/>
        <v>0.76766856214459789</v>
      </c>
      <c r="O16" s="259"/>
      <c r="P16" s="270">
        <v>21</v>
      </c>
      <c r="Q16" s="280">
        <v>45</v>
      </c>
      <c r="R16" s="35">
        <v>329</v>
      </c>
      <c r="S16" s="260">
        <v>5</v>
      </c>
      <c r="T16" s="260">
        <v>83</v>
      </c>
      <c r="U16" s="281">
        <f>(Table119[[#This Row],[FY25 Grads]]+Table119[[#This Row],[FY25 Fails]])/Table119[[#This Row],[FY25 Total Courses]]</f>
        <v>15.904761904761905</v>
      </c>
      <c r="V16" s="140">
        <v>915</v>
      </c>
      <c r="W16" s="276">
        <f t="shared" si="6"/>
        <v>0.36502732240437158</v>
      </c>
      <c r="X16" s="206">
        <v>915</v>
      </c>
      <c r="Y16" s="207">
        <v>31</v>
      </c>
      <c r="Z16" s="208"/>
      <c r="AA16" s="287">
        <v>16</v>
      </c>
      <c r="AB16" s="284">
        <v>45</v>
      </c>
      <c r="AC16" s="288">
        <v>486</v>
      </c>
      <c r="AD16" s="289">
        <v>2</v>
      </c>
      <c r="AE16" s="301">
        <f t="shared" si="7"/>
        <v>30.5</v>
      </c>
      <c r="AF16" s="34">
        <v>851</v>
      </c>
      <c r="AG16" s="302">
        <f t="shared" si="8"/>
        <v>0.57344300822561689</v>
      </c>
      <c r="AH16" s="208"/>
      <c r="AI16" s="280">
        <v>15</v>
      </c>
      <c r="AJ16" s="300">
        <v>30</v>
      </c>
      <c r="AK16" s="260">
        <v>400</v>
      </c>
      <c r="AL16" s="260">
        <v>4</v>
      </c>
      <c r="AM16" s="304">
        <f t="shared" si="9"/>
        <v>26.933333333333334</v>
      </c>
      <c r="AN16" s="310">
        <v>273</v>
      </c>
      <c r="AO16" s="312">
        <f t="shared" si="10"/>
        <v>1.4798534798534799</v>
      </c>
      <c r="AP16" s="306"/>
      <c r="AQ16" s="287">
        <v>11</v>
      </c>
      <c r="AR16" s="287">
        <v>30</v>
      </c>
      <c r="AS16" s="307">
        <v>314</v>
      </c>
      <c r="AT16" s="307">
        <v>3</v>
      </c>
      <c r="AU16" s="311">
        <f>(Table119[[#This Row],[FY22 Grads]]+Table119[[#This Row],[FY22 Fails]])/Table119[[#This Row],[FY22 Total Courses]]</f>
        <v>28.818181818181817</v>
      </c>
      <c r="AV16" s="308">
        <v>207</v>
      </c>
      <c r="AW16" s="324">
        <f t="shared" ref="AW16:AW31" si="12">SUM(AS16+AT16)/AV16</f>
        <v>1.5314009661835748</v>
      </c>
      <c r="AX16" s="246" t="s">
        <v>621</v>
      </c>
    </row>
    <row r="17" spans="1:50" s="209" customFormat="1" ht="31.5" x14ac:dyDescent="0.25">
      <c r="A17" s="474" t="s">
        <v>58</v>
      </c>
      <c r="B17" s="203" t="str">
        <f>VLOOKUP(Table119[[#This Row],[Course]],'TSD-Data'!$A$1:$G$70,7,FALSE)</f>
        <v>N5</v>
      </c>
      <c r="C17" s="479" t="s">
        <v>7</v>
      </c>
      <c r="D17" s="203" t="str">
        <f>VLOOKUP(Table119[[#This Row],[Course]],'TSD-Data'!$A$1:$G$70,2,FALSE)</f>
        <v xml:space="preserve">A-493-0075 </v>
      </c>
      <c r="E17" s="203" t="str">
        <f>VLOOKUP(Table119[[#This Row],[Course]],'TSD-Data'!$A$1:$G$70,3,FALSE)</f>
        <v>714U</v>
      </c>
      <c r="F17" s="69">
        <v>822</v>
      </c>
      <c r="G17" s="203">
        <f>VLOOKUP(Table119[[#This Row],[Course]],'TSD-Data'!$A$1:$G$70,4,FALSE)</f>
        <v>30</v>
      </c>
      <c r="H17" s="275">
        <f>Table119[[#This Row],[FY26 FLT Quota Need]]/Table119[[#This Row],[FY26 Quota Per course]]</f>
        <v>27.4</v>
      </c>
      <c r="I17" s="258">
        <f>ROUNDUP(Table119[[#This Row],[FY26 Courses Needed]],0)</f>
        <v>28</v>
      </c>
      <c r="J17" s="410">
        <v>0</v>
      </c>
      <c r="K17" s="339">
        <f>VLOOKUP(Table119[[#This Row],[Course]],'TSD-Data'!$A$1:$G$70,6,FALSE)</f>
        <v>32</v>
      </c>
      <c r="L17" s="204">
        <f>Table119[[#This Row],[FY26 NSETC Course '# projections]]*Table119[[#This Row],[FY26 Hours Per Course]]</f>
        <v>0</v>
      </c>
      <c r="M17" s="340">
        <f>Table119[[#This Row],[FY26 NSETC Course '# projections]]-Table119[[#This Row],[FY26 Courses Needed Round UP]]</f>
        <v>-28</v>
      </c>
      <c r="N17" s="341">
        <f t="shared" si="0"/>
        <v>0</v>
      </c>
      <c r="O17" s="259"/>
      <c r="P17" s="270">
        <v>11</v>
      </c>
      <c r="Q17" s="280">
        <v>30</v>
      </c>
      <c r="R17" s="35">
        <v>44</v>
      </c>
      <c r="S17" s="260">
        <v>0</v>
      </c>
      <c r="T17" s="260">
        <v>11</v>
      </c>
      <c r="U17" s="281">
        <f>(Table119[[#This Row],[FY25 Grads]]+Table119[[#This Row],[FY25 Fails]])/Table119[[#This Row],[FY25 Total Courses]]</f>
        <v>4</v>
      </c>
      <c r="V17" s="140">
        <v>883</v>
      </c>
      <c r="W17" s="276">
        <f t="shared" si="6"/>
        <v>4.9830124575311441E-2</v>
      </c>
      <c r="X17" s="206">
        <v>792</v>
      </c>
      <c r="Y17" s="207">
        <v>27</v>
      </c>
      <c r="Z17" s="208"/>
      <c r="AA17" s="287">
        <v>9</v>
      </c>
      <c r="AB17" s="284">
        <v>30</v>
      </c>
      <c r="AC17" s="290">
        <v>108</v>
      </c>
      <c r="AD17" s="289">
        <v>0</v>
      </c>
      <c r="AE17" s="301">
        <f t="shared" si="7"/>
        <v>12</v>
      </c>
      <c r="AF17" s="34">
        <v>939</v>
      </c>
      <c r="AG17" s="302">
        <f t="shared" si="8"/>
        <v>0.11501597444089456</v>
      </c>
      <c r="AH17" s="208"/>
      <c r="AI17" s="280">
        <v>6</v>
      </c>
      <c r="AJ17" s="300">
        <v>30</v>
      </c>
      <c r="AK17" s="260">
        <v>145</v>
      </c>
      <c r="AL17" s="260">
        <v>0</v>
      </c>
      <c r="AM17" s="304">
        <f t="shared" si="9"/>
        <v>24.166666666666668</v>
      </c>
      <c r="AN17" s="310">
        <v>517</v>
      </c>
      <c r="AO17" s="302">
        <f t="shared" si="10"/>
        <v>0.28046421663442939</v>
      </c>
      <c r="AP17" s="306"/>
      <c r="AQ17" s="287">
        <v>4</v>
      </c>
      <c r="AR17" s="287">
        <v>30</v>
      </c>
      <c r="AS17" s="307">
        <v>63</v>
      </c>
      <c r="AT17" s="307">
        <v>0</v>
      </c>
      <c r="AU17" s="311">
        <f>(Table119[[#This Row],[FY22 Grads]]+Table119[[#This Row],[FY22 Fails]])/Table119[[#This Row],[FY22 Total Courses]]</f>
        <v>15.75</v>
      </c>
      <c r="AV17" s="308">
        <v>431</v>
      </c>
      <c r="AW17" s="302">
        <f t="shared" si="12"/>
        <v>0.14617169373549885</v>
      </c>
      <c r="AX17" s="246" t="s">
        <v>433</v>
      </c>
    </row>
    <row r="18" spans="1:50" s="209" customFormat="1" ht="31.5" x14ac:dyDescent="0.25">
      <c r="A18" s="480" t="s">
        <v>38</v>
      </c>
      <c r="B18" s="203" t="str">
        <f>VLOOKUP(Table119[[#This Row],[Course]],'TSD-Data'!$A$1:$G$70,7,FALSE)</f>
        <v>N5</v>
      </c>
      <c r="C18" s="203" t="s">
        <v>86</v>
      </c>
      <c r="D18" s="203" t="str">
        <f>VLOOKUP(Table119[[#This Row],[Course]],'TSD-Data'!$A$1:$G$70,2,FALSE)</f>
        <v>A-493-0061</v>
      </c>
      <c r="E18" s="203" t="str">
        <f>VLOOKUP(Table119[[#This Row],[Course]],'TSD-Data'!$A$1:$G$70,3,FALSE)</f>
        <v>288E</v>
      </c>
      <c r="F18" s="203">
        <v>900</v>
      </c>
      <c r="G18" s="203">
        <f>VLOOKUP(Table119[[#This Row],[Course]],'TSD-Data'!$A$1:$G$70,4,FALSE)</f>
        <v>45</v>
      </c>
      <c r="H18" s="275">
        <f>Table119[[#This Row],[FY26 FLT Quota Need]]/Table119[[#This Row],[FY26 Quota Per course]]</f>
        <v>20</v>
      </c>
      <c r="I18" s="258">
        <f>ROUNDUP(Table119[[#This Row],[FY26 Courses Needed]],0)</f>
        <v>20</v>
      </c>
      <c r="J18" s="410">
        <v>17</v>
      </c>
      <c r="K18" s="339">
        <f>VLOOKUP(Table119[[#This Row],[Course]],'TSD-Data'!$A$1:$G$70,6,FALSE)</f>
        <v>30</v>
      </c>
      <c r="L18" s="204">
        <f>Table119[[#This Row],[FY26 NSETC Course '# projections]]*Table119[[#This Row],[FY26 Hours Per Course]]</f>
        <v>510</v>
      </c>
      <c r="M18" s="204">
        <f>Table119[[#This Row],[FY26 NSETC Course '# projections]]-Table119[[#This Row],[FY26 Courses Needed Round UP]]</f>
        <v>-3</v>
      </c>
      <c r="N18" s="341">
        <f t="shared" si="0"/>
        <v>0.85</v>
      </c>
      <c r="O18" s="259"/>
      <c r="P18" s="270">
        <v>17</v>
      </c>
      <c r="Q18" s="280">
        <v>45</v>
      </c>
      <c r="R18" s="35">
        <v>271</v>
      </c>
      <c r="S18" s="260">
        <v>1</v>
      </c>
      <c r="T18" s="260">
        <v>50</v>
      </c>
      <c r="U18" s="281">
        <f>(Table119[[#This Row],[FY25 Grads]]+Table119[[#This Row],[FY25 Fails]])/Table119[[#This Row],[FY25 Total Courses]]</f>
        <v>16</v>
      </c>
      <c r="V18" s="140">
        <v>721</v>
      </c>
      <c r="W18" s="276">
        <f t="shared" si="6"/>
        <v>0.37725381414701803</v>
      </c>
      <c r="X18" s="206">
        <v>702</v>
      </c>
      <c r="Y18" s="207">
        <v>24</v>
      </c>
      <c r="Z18" s="208"/>
      <c r="AA18" s="287">
        <v>17</v>
      </c>
      <c r="AB18" s="284">
        <v>45</v>
      </c>
      <c r="AC18" s="288">
        <v>402</v>
      </c>
      <c r="AD18" s="289">
        <v>3</v>
      </c>
      <c r="AE18" s="301">
        <f t="shared" si="7"/>
        <v>23.823529411764707</v>
      </c>
      <c r="AF18" s="34">
        <v>762</v>
      </c>
      <c r="AG18" s="302">
        <f t="shared" si="8"/>
        <v>0.53149606299212604</v>
      </c>
      <c r="AH18" s="208"/>
      <c r="AI18" s="280">
        <v>12</v>
      </c>
      <c r="AJ18" s="300">
        <v>30</v>
      </c>
      <c r="AK18" s="260">
        <v>307</v>
      </c>
      <c r="AL18" s="260">
        <v>8</v>
      </c>
      <c r="AM18" s="304">
        <f t="shared" si="9"/>
        <v>26.25</v>
      </c>
      <c r="AN18" s="310">
        <v>446</v>
      </c>
      <c r="AO18" s="302">
        <f t="shared" si="10"/>
        <v>0.70627802690582964</v>
      </c>
      <c r="AP18" s="306"/>
      <c r="AQ18" s="287">
        <v>10</v>
      </c>
      <c r="AR18" s="287">
        <v>30</v>
      </c>
      <c r="AS18" s="307">
        <v>231</v>
      </c>
      <c r="AT18" s="307">
        <v>3</v>
      </c>
      <c r="AU18" s="311">
        <f>(Table119[[#This Row],[FY22 Grads]]+Table119[[#This Row],[FY22 Fails]])/Table119[[#This Row],[FY22 Total Courses]]</f>
        <v>23.4</v>
      </c>
      <c r="AV18" s="308">
        <v>498</v>
      </c>
      <c r="AW18" s="302">
        <f t="shared" si="12"/>
        <v>0.46987951807228917</v>
      </c>
      <c r="AX18" s="246" t="s">
        <v>622</v>
      </c>
    </row>
    <row r="19" spans="1:50" s="209" customFormat="1" ht="63" x14ac:dyDescent="0.25">
      <c r="A19" s="480" t="s">
        <v>120</v>
      </c>
      <c r="B19" s="203" t="str">
        <f>VLOOKUP(Table119[[#This Row],[Course]],'TSD-Data'!$A$1:$G$70,7,FALSE)</f>
        <v>N3</v>
      </c>
      <c r="C19" s="203" t="s">
        <v>86</v>
      </c>
      <c r="D19" s="203" t="str">
        <f>VLOOKUP(Table119[[#This Row],[Course]],'TSD-Data'!$A$1:$G$70,2,FALSE)</f>
        <v>A-322-2604</v>
      </c>
      <c r="E19" s="203" t="str">
        <f>VLOOKUP(Table119[[#This Row],[Course]],'TSD-Data'!$A$1:$G$70,3,FALSE)</f>
        <v>10ZZ</v>
      </c>
      <c r="F19" s="203">
        <v>893</v>
      </c>
      <c r="G19" s="203">
        <f>VLOOKUP(Table119[[#This Row],[Course]],'TSD-Data'!$A$1:$G$70,4,FALSE)</f>
        <v>45</v>
      </c>
      <c r="H19" s="275">
        <f>Table119[[#This Row],[FY26 FLT Quota Need]]/Table119[[#This Row],[FY26 Quota Per course]]</f>
        <v>19.844444444444445</v>
      </c>
      <c r="I19" s="258">
        <f>ROUNDUP(Table119[[#This Row],[FY26 Courses Needed]],0)</f>
        <v>20</v>
      </c>
      <c r="J19" s="410">
        <v>20</v>
      </c>
      <c r="K19" s="339">
        <f>VLOOKUP(Table119[[#This Row],[Course]],'TSD-Data'!$A$1:$G$70,6,FALSE)</f>
        <v>24</v>
      </c>
      <c r="L19" s="204">
        <f>Table119[[#This Row],[FY26 NSETC Course '# projections]]*Table119[[#This Row],[FY26 Hours Per Course]]</f>
        <v>480</v>
      </c>
      <c r="M19" s="204">
        <f>Table119[[#This Row],[FY26 NSETC Course '# projections]]-Table119[[#This Row],[FY26 Courses Needed Round UP]]</f>
        <v>0</v>
      </c>
      <c r="N19" s="341">
        <f t="shared" si="0"/>
        <v>1.0078387458006719</v>
      </c>
      <c r="O19" s="259"/>
      <c r="P19" s="270">
        <v>18</v>
      </c>
      <c r="Q19" s="280">
        <v>45</v>
      </c>
      <c r="R19" s="35">
        <v>451</v>
      </c>
      <c r="S19" s="260">
        <v>15</v>
      </c>
      <c r="T19" s="260">
        <v>84</v>
      </c>
      <c r="U19" s="281">
        <f>(Table119[[#This Row],[FY25 Grads]]+Table119[[#This Row],[FY25 Fails]])/Table119[[#This Row],[FY25 Total Courses]]</f>
        <v>25.888888888888889</v>
      </c>
      <c r="V19" s="140">
        <v>791</v>
      </c>
      <c r="W19" s="276">
        <f t="shared" si="6"/>
        <v>0.58912768647281921</v>
      </c>
      <c r="X19" s="206">
        <v>640</v>
      </c>
      <c r="Y19" s="207">
        <v>22</v>
      </c>
      <c r="Z19" s="208"/>
      <c r="AA19" s="287">
        <v>18</v>
      </c>
      <c r="AB19" s="284">
        <v>45</v>
      </c>
      <c r="AC19" s="288">
        <v>683</v>
      </c>
      <c r="AD19" s="289">
        <v>13</v>
      </c>
      <c r="AE19" s="301">
        <f t="shared" si="7"/>
        <v>38.666666666666664</v>
      </c>
      <c r="AF19" s="34">
        <v>800</v>
      </c>
      <c r="AG19" s="302">
        <f t="shared" si="8"/>
        <v>0.87</v>
      </c>
      <c r="AH19" s="208"/>
      <c r="AI19" s="280">
        <v>26</v>
      </c>
      <c r="AJ19" s="300">
        <v>30</v>
      </c>
      <c r="AK19" s="260">
        <v>680</v>
      </c>
      <c r="AL19" s="260">
        <v>29</v>
      </c>
      <c r="AM19" s="304">
        <f t="shared" si="9"/>
        <v>27.26923076923077</v>
      </c>
      <c r="AN19" s="310">
        <f>459+323</f>
        <v>782</v>
      </c>
      <c r="AO19" s="302">
        <f t="shared" si="10"/>
        <v>0.90664961636828645</v>
      </c>
      <c r="AP19" s="306"/>
      <c r="AQ19" s="287">
        <v>17</v>
      </c>
      <c r="AR19" s="287">
        <v>30</v>
      </c>
      <c r="AS19" s="307">
        <v>448</v>
      </c>
      <c r="AT19" s="307">
        <v>23</v>
      </c>
      <c r="AU19" s="311">
        <f>(Table119[[#This Row],[FY22 Grads]]+Table119[[#This Row],[FY22 Fails]])/Table119[[#This Row],[FY22 Total Courses]]</f>
        <v>27.705882352941178</v>
      </c>
      <c r="AV19" s="308">
        <v>221</v>
      </c>
      <c r="AW19" s="309">
        <f t="shared" si="12"/>
        <v>2.1312217194570136</v>
      </c>
      <c r="AX19" s="246" t="s">
        <v>623</v>
      </c>
    </row>
    <row r="20" spans="1:50" s="209" customFormat="1" ht="47.25" x14ac:dyDescent="0.25">
      <c r="A20" s="474" t="s">
        <v>29</v>
      </c>
      <c r="B20" s="203" t="str">
        <f>VLOOKUP(Table119[[#This Row],[Course]],'TSD-Data'!$A$1:$G$70,7,FALSE)</f>
        <v>N4</v>
      </c>
      <c r="C20" s="479" t="s">
        <v>7</v>
      </c>
      <c r="D20" s="203" t="str">
        <f>VLOOKUP(Table119[[#This Row],[Course]],'TSD-Data'!$A$1:$G$70,2,FALSE)</f>
        <v>A-493-0077</v>
      </c>
      <c r="E20" s="203" t="str">
        <f>VLOOKUP(Table119[[#This Row],[Course]],'TSD-Data'!$A$1:$G$70,3,FALSE)</f>
        <v>0381</v>
      </c>
      <c r="F20" s="203">
        <v>1279</v>
      </c>
      <c r="G20" s="203">
        <f>VLOOKUP(Table119[[#This Row],[Course]],'TSD-Data'!$A$1:$G$70,4,FALSE)</f>
        <v>25</v>
      </c>
      <c r="H20" s="275">
        <f>Table119[[#This Row],[FY26 FLT Quota Need]]/Table119[[#This Row],[FY26 Quota Per course]]</f>
        <v>51.16</v>
      </c>
      <c r="I20" s="258">
        <f>ROUNDUP(Table119[[#This Row],[FY26 Courses Needed]],0)</f>
        <v>52</v>
      </c>
      <c r="J20" s="410">
        <v>36</v>
      </c>
      <c r="K20" s="339">
        <f>VLOOKUP(Table119[[#This Row],[Course]],'TSD-Data'!$A$1:$G$70,6,FALSE)</f>
        <v>24</v>
      </c>
      <c r="L20" s="339">
        <f>Table119[[#This Row],[FY26 NSETC Course '# projections]]*Table119[[#This Row],[FY26 Hours Per Course]]</f>
        <v>864</v>
      </c>
      <c r="M20" s="340">
        <f>Table119[[#This Row],[FY26 NSETC Course '# projections]]-Table119[[#This Row],[FY26 Courses Needed Round UP]]</f>
        <v>-16</v>
      </c>
      <c r="N20" s="341">
        <f t="shared" si="0"/>
        <v>0.7036747458952306</v>
      </c>
      <c r="O20" s="259"/>
      <c r="P20" s="270">
        <v>16</v>
      </c>
      <c r="Q20" s="270">
        <v>25</v>
      </c>
      <c r="R20" s="277">
        <v>109</v>
      </c>
      <c r="S20" s="140">
        <v>0</v>
      </c>
      <c r="T20" s="140">
        <v>7</v>
      </c>
      <c r="U20" s="281">
        <f>(Table119[[#This Row],[FY25 Grads]]+Table119[[#This Row],[FY25 Fails]])/Table119[[#This Row],[FY25 Total Courses]]</f>
        <v>6.8125</v>
      </c>
      <c r="V20" s="140">
        <v>1042</v>
      </c>
      <c r="W20" s="276">
        <f t="shared" si="6"/>
        <v>0.10460652591170826</v>
      </c>
      <c r="X20" s="206">
        <v>1148</v>
      </c>
      <c r="Y20" s="272">
        <v>46</v>
      </c>
      <c r="Z20" s="208"/>
      <c r="AA20" s="283">
        <v>9</v>
      </c>
      <c r="AB20" s="284">
        <v>25</v>
      </c>
      <c r="AC20" s="285">
        <v>134</v>
      </c>
      <c r="AD20" s="286">
        <v>1</v>
      </c>
      <c r="AE20" s="301">
        <f t="shared" si="7"/>
        <v>15</v>
      </c>
      <c r="AF20" s="34">
        <v>1359</v>
      </c>
      <c r="AG20" s="302">
        <f t="shared" si="8"/>
        <v>9.9337748344370855E-2</v>
      </c>
      <c r="AH20" s="208"/>
      <c r="AI20" s="270">
        <v>14</v>
      </c>
      <c r="AJ20" s="323">
        <v>25</v>
      </c>
      <c r="AK20" s="140">
        <v>244</v>
      </c>
      <c r="AL20" s="140">
        <v>0</v>
      </c>
      <c r="AM20" s="304">
        <f t="shared" si="9"/>
        <v>17.428571428571427</v>
      </c>
      <c r="AN20" s="305">
        <v>375</v>
      </c>
      <c r="AO20" s="302">
        <f t="shared" si="10"/>
        <v>0.65066666666666662</v>
      </c>
      <c r="AP20" s="306"/>
      <c r="AQ20" s="287">
        <v>20</v>
      </c>
      <c r="AR20" s="287">
        <v>25</v>
      </c>
      <c r="AS20" s="307">
        <v>278</v>
      </c>
      <c r="AT20" s="307">
        <v>0</v>
      </c>
      <c r="AU20" s="321">
        <v>13.9</v>
      </c>
      <c r="AV20" s="308">
        <v>500</v>
      </c>
      <c r="AW20" s="309">
        <f t="shared" si="12"/>
        <v>0.55600000000000005</v>
      </c>
      <c r="AX20" s="269" t="s">
        <v>29</v>
      </c>
    </row>
    <row r="21" spans="1:50" s="209" customFormat="1" ht="63" x14ac:dyDescent="0.25">
      <c r="A21" s="474" t="s">
        <v>31</v>
      </c>
      <c r="B21" s="203" t="str">
        <f>VLOOKUP(Table119[[#This Row],[Course]],'TSD-Data'!$A$1:$G$70,7,FALSE)</f>
        <v>N4</v>
      </c>
      <c r="C21" s="479" t="s">
        <v>7</v>
      </c>
      <c r="D21" s="203" t="str">
        <f>VLOOKUP(Table119[[#This Row],[Course]],'TSD-Data'!$A$1:$G$70,2,FALSE)</f>
        <v>A-493-0083</v>
      </c>
      <c r="E21" s="203" t="str">
        <f>VLOOKUP(Table119[[#This Row],[Course]],'TSD-Data'!$A$1:$G$70,3,FALSE)</f>
        <v>339E</v>
      </c>
      <c r="F21" s="203">
        <v>1501</v>
      </c>
      <c r="G21" s="203">
        <f>VLOOKUP(Table119[[#This Row],[Course]],'TSD-Data'!$A$1:$G$70,4,FALSE)</f>
        <v>30</v>
      </c>
      <c r="H21" s="275">
        <f>Table119[[#This Row],[FY26 FLT Quota Need]]/Table119[[#This Row],[FY26 Quota Per course]]</f>
        <v>50.033333333333331</v>
      </c>
      <c r="I21" s="258">
        <f>ROUNDUP(Table119[[#This Row],[FY26 Courses Needed]],0)</f>
        <v>51</v>
      </c>
      <c r="J21" s="410">
        <v>25</v>
      </c>
      <c r="K21" s="339">
        <f>VLOOKUP(Table119[[#This Row],[Course]],'TSD-Data'!$A$1:$G$70,6,FALSE)</f>
        <v>8</v>
      </c>
      <c r="L21" s="339">
        <f>Table119[[#This Row],[FY26 NSETC Course '# projections]]*Table119[[#This Row],[FY26 Hours Per Course]]</f>
        <v>200</v>
      </c>
      <c r="M21" s="340">
        <f>Table119[[#This Row],[FY26 NSETC Course '# projections]]-Table119[[#This Row],[FY26 Courses Needed Round UP]]</f>
        <v>-26</v>
      </c>
      <c r="N21" s="341">
        <f t="shared" si="0"/>
        <v>0.49966688874083942</v>
      </c>
      <c r="O21" s="259"/>
      <c r="P21" s="270">
        <v>29</v>
      </c>
      <c r="Q21" s="270">
        <v>30</v>
      </c>
      <c r="R21" s="277">
        <v>229</v>
      </c>
      <c r="S21" s="140">
        <v>1</v>
      </c>
      <c r="T21" s="140">
        <v>29</v>
      </c>
      <c r="U21" s="281">
        <f>(Table119[[#This Row],[FY25 Grads]]+Table119[[#This Row],[FY25 Fails]])/Table119[[#This Row],[FY25 Total Courses]]</f>
        <v>7.931034482758621</v>
      </c>
      <c r="V21" s="140">
        <v>1705</v>
      </c>
      <c r="W21" s="276">
        <f t="shared" si="6"/>
        <v>0.13489736070381231</v>
      </c>
      <c r="X21" s="206">
        <v>1432</v>
      </c>
      <c r="Y21" s="272">
        <v>48</v>
      </c>
      <c r="Z21" s="208"/>
      <c r="AA21" s="283">
        <v>22</v>
      </c>
      <c r="AB21" s="284">
        <v>30</v>
      </c>
      <c r="AC21" s="285">
        <v>438</v>
      </c>
      <c r="AD21" s="286">
        <v>0</v>
      </c>
      <c r="AE21" s="301">
        <f t="shared" si="7"/>
        <v>19.90909090909091</v>
      </c>
      <c r="AF21" s="34">
        <v>1595</v>
      </c>
      <c r="AG21" s="302">
        <f t="shared" si="8"/>
        <v>0.27460815047021941</v>
      </c>
      <c r="AH21" s="208"/>
      <c r="AI21" s="270">
        <v>34</v>
      </c>
      <c r="AJ21" s="323">
        <v>30</v>
      </c>
      <c r="AK21" s="140">
        <v>652</v>
      </c>
      <c r="AL21" s="140">
        <v>12</v>
      </c>
      <c r="AM21" s="304">
        <f t="shared" si="9"/>
        <v>19.529411764705884</v>
      </c>
      <c r="AN21" s="305">
        <v>930</v>
      </c>
      <c r="AO21" s="302">
        <f t="shared" si="10"/>
        <v>0.71397849462365592</v>
      </c>
      <c r="AP21" s="306"/>
      <c r="AQ21" s="287">
        <v>43</v>
      </c>
      <c r="AR21" s="287">
        <v>25</v>
      </c>
      <c r="AS21" s="307">
        <v>772</v>
      </c>
      <c r="AT21" s="307">
        <v>0</v>
      </c>
      <c r="AU21" s="321">
        <v>17.953488372093023</v>
      </c>
      <c r="AV21" s="308">
        <v>1100</v>
      </c>
      <c r="AW21" s="309">
        <f t="shared" si="12"/>
        <v>0.70181818181818179</v>
      </c>
      <c r="AX21" s="269" t="s">
        <v>31</v>
      </c>
    </row>
    <row r="22" spans="1:50" s="209" customFormat="1" ht="31.5" x14ac:dyDescent="0.25">
      <c r="A22" s="474" t="s">
        <v>32</v>
      </c>
      <c r="B22" s="203" t="str">
        <f>VLOOKUP(Table119[[#This Row],[Course]],'TSD-Data'!$A$1:$G$70,7,FALSE)</f>
        <v>N4</v>
      </c>
      <c r="C22" s="479" t="s">
        <v>7</v>
      </c>
      <c r="D22" s="203" t="str">
        <f>VLOOKUP(Table119[[#This Row],[Course]],'TSD-Data'!$A$1:$G$70,2,FALSE)</f>
        <v>A-493-2300</v>
      </c>
      <c r="E22" s="203" t="str">
        <f>VLOOKUP(Table119[[#This Row],[Course]],'TSD-Data'!$A$1:$G$70,3,FALSE)</f>
        <v>993F</v>
      </c>
      <c r="F22" s="203">
        <v>658</v>
      </c>
      <c r="G22" s="203">
        <f>VLOOKUP(Table119[[#This Row],[Course]],'TSD-Data'!$A$1:$G$70,4,FALSE)</f>
        <v>30</v>
      </c>
      <c r="H22" s="275">
        <f>Table119[[#This Row],[FY26 FLT Quota Need]]/Table119[[#This Row],[FY26 Quota Per course]]</f>
        <v>21.933333333333334</v>
      </c>
      <c r="I22" s="258">
        <f>ROUNDUP(Table119[[#This Row],[FY26 Courses Needed]],0)</f>
        <v>22</v>
      </c>
      <c r="J22" s="410">
        <v>0</v>
      </c>
      <c r="K22" s="339">
        <f>VLOOKUP(Table119[[#This Row],[Course]],'TSD-Data'!$A$1:$G$70,6,FALSE)</f>
        <v>16</v>
      </c>
      <c r="L22" s="339">
        <f>Table119[[#This Row],[FY26 NSETC Course '# projections]]*Table119[[#This Row],[FY26 Hours Per Course]]</f>
        <v>0</v>
      </c>
      <c r="M22" s="340">
        <f>Table119[[#This Row],[FY26 NSETC Course '# projections]]-Table119[[#This Row],[FY26 Courses Needed Round UP]]</f>
        <v>-22</v>
      </c>
      <c r="N22" s="341">
        <f t="shared" si="0"/>
        <v>0</v>
      </c>
      <c r="O22" s="259"/>
      <c r="P22" s="270">
        <v>10</v>
      </c>
      <c r="Q22" s="270">
        <v>30</v>
      </c>
      <c r="R22" s="140">
        <v>121</v>
      </c>
      <c r="S22" s="140">
        <v>0</v>
      </c>
      <c r="T22" s="140">
        <v>25</v>
      </c>
      <c r="U22" s="281">
        <f>(Table119[[#This Row],[FY25 Grads]]+Table119[[#This Row],[FY25 Fails]])/Table119[[#This Row],[FY25 Total Courses]]</f>
        <v>12.1</v>
      </c>
      <c r="V22" s="140">
        <v>614</v>
      </c>
      <c r="W22" s="276">
        <f t="shared" si="6"/>
        <v>0.19706840390879479</v>
      </c>
      <c r="X22" s="206">
        <v>954</v>
      </c>
      <c r="Y22" s="272">
        <v>32</v>
      </c>
      <c r="Z22" s="208"/>
      <c r="AA22" s="283">
        <v>6</v>
      </c>
      <c r="AB22" s="284">
        <v>30</v>
      </c>
      <c r="AC22" s="285">
        <v>123</v>
      </c>
      <c r="AD22" s="286">
        <v>0</v>
      </c>
      <c r="AE22" s="301">
        <f t="shared" si="7"/>
        <v>20.5</v>
      </c>
      <c r="AF22" s="36">
        <v>958</v>
      </c>
      <c r="AG22" s="302">
        <f t="shared" si="8"/>
        <v>0.12839248434237996</v>
      </c>
      <c r="AH22" s="208"/>
      <c r="AI22" s="270">
        <v>12</v>
      </c>
      <c r="AJ22" s="323">
        <v>30</v>
      </c>
      <c r="AK22" s="140">
        <v>178</v>
      </c>
      <c r="AL22" s="140">
        <v>0</v>
      </c>
      <c r="AM22" s="304">
        <f t="shared" si="9"/>
        <v>14.833333333333334</v>
      </c>
      <c r="AN22" s="292">
        <v>630</v>
      </c>
      <c r="AO22" s="302">
        <f t="shared" si="10"/>
        <v>0.28253968253968254</v>
      </c>
      <c r="AP22" s="306"/>
      <c r="AQ22" s="287">
        <v>20</v>
      </c>
      <c r="AR22" s="287">
        <v>30</v>
      </c>
      <c r="AS22" s="307">
        <v>311</v>
      </c>
      <c r="AT22" s="307">
        <v>0</v>
      </c>
      <c r="AU22" s="321">
        <v>15.55</v>
      </c>
      <c r="AV22" s="308">
        <v>510</v>
      </c>
      <c r="AW22" s="309">
        <f t="shared" si="12"/>
        <v>0.6098039215686275</v>
      </c>
      <c r="AX22" s="269" t="s">
        <v>32</v>
      </c>
    </row>
    <row r="23" spans="1:50" s="209" customFormat="1" ht="47.25" x14ac:dyDescent="0.25">
      <c r="A23" s="474" t="s">
        <v>33</v>
      </c>
      <c r="B23" s="203" t="str">
        <f>VLOOKUP(Table119[[#This Row],[Course]],'TSD-Data'!$A$1:$G$70,7,FALSE)</f>
        <v>N4</v>
      </c>
      <c r="C23" s="479" t="s">
        <v>7</v>
      </c>
      <c r="D23" s="203" t="str">
        <f>VLOOKUP(Table119[[#This Row],[Course]],'TSD-Data'!$A$1:$G$70,2,FALSE)</f>
        <v>A-493-2301</v>
      </c>
      <c r="E23" s="203" t="str">
        <f>VLOOKUP(Table119[[#This Row],[Course]],'TSD-Data'!$A$1:$G$70,3,FALSE)</f>
        <v>05ZD</v>
      </c>
      <c r="F23" s="203">
        <v>744</v>
      </c>
      <c r="G23" s="203">
        <f>VLOOKUP(Table119[[#This Row],[Course]],'TSD-Data'!$A$1:$G$70,4,FALSE)</f>
        <v>30</v>
      </c>
      <c r="H23" s="275">
        <f>Table119[[#This Row],[FY26 FLT Quota Need]]/Table119[[#This Row],[FY26 Quota Per course]]</f>
        <v>24.8</v>
      </c>
      <c r="I23" s="258">
        <f>ROUNDUP(Table119[[#This Row],[FY26 Courses Needed]],0)</f>
        <v>25</v>
      </c>
      <c r="J23" s="410">
        <v>0</v>
      </c>
      <c r="K23" s="339">
        <f>VLOOKUP(Table119[[#This Row],[Course]],'TSD-Data'!$A$1:$G$70,6,FALSE)</f>
        <v>8</v>
      </c>
      <c r="L23" s="339">
        <f>Table119[[#This Row],[FY26 NSETC Course '# projections]]*Table119[[#This Row],[FY26 Hours Per Course]]</f>
        <v>0</v>
      </c>
      <c r="M23" s="340">
        <f>Table119[[#This Row],[FY26 NSETC Course '# projections]]-Table119[[#This Row],[FY26 Courses Needed Round UP]]</f>
        <v>-25</v>
      </c>
      <c r="N23" s="341">
        <f t="shared" si="0"/>
        <v>0</v>
      </c>
      <c r="O23" s="259"/>
      <c r="P23" s="270">
        <v>13</v>
      </c>
      <c r="Q23" s="270">
        <v>30</v>
      </c>
      <c r="R23" s="140">
        <v>12</v>
      </c>
      <c r="S23" s="140">
        <v>0</v>
      </c>
      <c r="T23" s="140">
        <v>27</v>
      </c>
      <c r="U23" s="281">
        <f>(Table119[[#This Row],[FY25 Grads]]+Table119[[#This Row],[FY25 Fails]])/Table119[[#This Row],[FY25 Total Courses]]</f>
        <v>0.92307692307692313</v>
      </c>
      <c r="V23" s="140">
        <v>824</v>
      </c>
      <c r="W23" s="276">
        <f t="shared" si="6"/>
        <v>1.4563106796116505E-2</v>
      </c>
      <c r="X23" s="206">
        <v>816</v>
      </c>
      <c r="Y23" s="272">
        <v>28</v>
      </c>
      <c r="Z23" s="208"/>
      <c r="AA23" s="283">
        <v>14</v>
      </c>
      <c r="AB23" s="284">
        <v>30</v>
      </c>
      <c r="AC23" s="285">
        <v>187</v>
      </c>
      <c r="AD23" s="286">
        <v>0</v>
      </c>
      <c r="AE23" s="301">
        <f t="shared" si="7"/>
        <v>13.357142857142858</v>
      </c>
      <c r="AF23" s="36">
        <v>810</v>
      </c>
      <c r="AG23" s="302">
        <f t="shared" si="8"/>
        <v>0.23086419753086421</v>
      </c>
      <c r="AH23" s="208"/>
      <c r="AI23" s="270">
        <v>8</v>
      </c>
      <c r="AJ23" s="323">
        <v>30</v>
      </c>
      <c r="AK23" s="140">
        <v>100</v>
      </c>
      <c r="AL23" s="140">
        <v>0</v>
      </c>
      <c r="AM23" s="304">
        <f t="shared" si="9"/>
        <v>12.5</v>
      </c>
      <c r="AN23" s="292">
        <v>210</v>
      </c>
      <c r="AO23" s="302">
        <f t="shared" si="10"/>
        <v>0.47619047619047616</v>
      </c>
      <c r="AP23" s="306"/>
      <c r="AQ23" s="287">
        <v>9</v>
      </c>
      <c r="AR23" s="287">
        <v>30</v>
      </c>
      <c r="AS23" s="307">
        <v>132</v>
      </c>
      <c r="AT23" s="307">
        <v>0</v>
      </c>
      <c r="AU23" s="321">
        <v>14.666666666666666</v>
      </c>
      <c r="AV23" s="308">
        <v>90</v>
      </c>
      <c r="AW23" s="309">
        <f t="shared" si="12"/>
        <v>1.4666666666666666</v>
      </c>
      <c r="AX23" s="269" t="s">
        <v>33</v>
      </c>
    </row>
    <row r="24" spans="1:50" s="209" customFormat="1" ht="31.5" x14ac:dyDescent="0.25">
      <c r="A24" s="474" t="s">
        <v>34</v>
      </c>
      <c r="B24" s="203" t="str">
        <f>VLOOKUP(Table119[[#This Row],[Course]],'TSD-Data'!$A$1:$G$70,7,FALSE)</f>
        <v>N4</v>
      </c>
      <c r="C24" s="479" t="s">
        <v>7</v>
      </c>
      <c r="D24" s="203" t="str">
        <f>VLOOKUP(Table119[[#This Row],[Course]],'TSD-Data'!$A$1:$G$70,2,FALSE)</f>
        <v>A-493-0216</v>
      </c>
      <c r="E24" s="203" t="str">
        <f>VLOOKUP(Table119[[#This Row],[Course]],'TSD-Data'!$A$1:$G$70,3,FALSE)</f>
        <v>12X8</v>
      </c>
      <c r="F24" s="203">
        <v>612</v>
      </c>
      <c r="G24" s="203">
        <f>VLOOKUP(Table119[[#This Row],[Course]],'TSD-Data'!$A$1:$G$70,4,FALSE)</f>
        <v>30</v>
      </c>
      <c r="H24" s="275">
        <f>Table119[[#This Row],[FY26 FLT Quota Need]]/Table119[[#This Row],[FY26 Quota Per course]]</f>
        <v>20.399999999999999</v>
      </c>
      <c r="I24" s="258">
        <f>ROUNDUP(Table119[[#This Row],[FY26 Courses Needed]],0)</f>
        <v>21</v>
      </c>
      <c r="J24" s="410">
        <v>0</v>
      </c>
      <c r="K24" s="339">
        <f>VLOOKUP(Table119[[#This Row],[Course]],'TSD-Data'!$A$1:$G$70,6,FALSE)</f>
        <v>8</v>
      </c>
      <c r="L24" s="339">
        <f>Table119[[#This Row],[FY26 NSETC Course '# projections]]*Table119[[#This Row],[FY26 Hours Per Course]]</f>
        <v>0</v>
      </c>
      <c r="M24" s="340">
        <f>Table119[[#This Row],[FY26 NSETC Course '# projections]]-Table119[[#This Row],[FY26 Courses Needed Round UP]]</f>
        <v>-21</v>
      </c>
      <c r="N24" s="341">
        <f t="shared" si="0"/>
        <v>0</v>
      </c>
      <c r="O24" s="259"/>
      <c r="P24" s="270">
        <v>7</v>
      </c>
      <c r="Q24" s="270">
        <v>30</v>
      </c>
      <c r="R24" s="140">
        <v>105</v>
      </c>
      <c r="S24" s="140">
        <v>0</v>
      </c>
      <c r="T24" s="140">
        <v>30</v>
      </c>
      <c r="U24" s="281">
        <f>(Table119[[#This Row],[FY25 Grads]]+Table119[[#This Row],[FY25 Fails]])/Table119[[#This Row],[FY25 Total Courses]]</f>
        <v>15</v>
      </c>
      <c r="V24" s="140">
        <v>436</v>
      </c>
      <c r="W24" s="276">
        <f t="shared" si="6"/>
        <v>0.24082568807339449</v>
      </c>
      <c r="X24" s="206">
        <v>1073</v>
      </c>
      <c r="Y24" s="272">
        <v>36</v>
      </c>
      <c r="Z24" s="208"/>
      <c r="AA24" s="283">
        <v>6</v>
      </c>
      <c r="AB24" s="284">
        <v>30</v>
      </c>
      <c r="AC24" s="285">
        <v>132</v>
      </c>
      <c r="AD24" s="286">
        <v>0</v>
      </c>
      <c r="AE24" s="301">
        <f t="shared" si="7"/>
        <v>22</v>
      </c>
      <c r="AF24" s="36">
        <v>1090</v>
      </c>
      <c r="AG24" s="302">
        <f t="shared" si="8"/>
        <v>0.12110091743119267</v>
      </c>
      <c r="AH24" s="208"/>
      <c r="AI24" s="270">
        <v>9</v>
      </c>
      <c r="AJ24" s="323">
        <v>30</v>
      </c>
      <c r="AK24" s="140">
        <v>146</v>
      </c>
      <c r="AL24" s="140">
        <v>0</v>
      </c>
      <c r="AM24" s="304">
        <f t="shared" si="9"/>
        <v>16.222222222222221</v>
      </c>
      <c r="AN24" s="292">
        <v>300</v>
      </c>
      <c r="AO24" s="302">
        <f t="shared" si="10"/>
        <v>0.48666666666666669</v>
      </c>
      <c r="AP24" s="306"/>
      <c r="AQ24" s="287">
        <v>9</v>
      </c>
      <c r="AR24" s="287">
        <v>30</v>
      </c>
      <c r="AS24" s="307">
        <v>192</v>
      </c>
      <c r="AT24" s="307">
        <v>0</v>
      </c>
      <c r="AU24" s="321">
        <v>21.333333333333332</v>
      </c>
      <c r="AV24" s="308">
        <v>270</v>
      </c>
      <c r="AW24" s="309">
        <f t="shared" si="12"/>
        <v>0.71111111111111114</v>
      </c>
      <c r="AX24" s="269" t="s">
        <v>34</v>
      </c>
    </row>
    <row r="25" spans="1:50" s="209" customFormat="1" ht="30" x14ac:dyDescent="0.25">
      <c r="A25" s="480" t="s">
        <v>49</v>
      </c>
      <c r="B25" s="203" t="str">
        <f>VLOOKUP(Table119[[#This Row],[Course]],'TSD-Data'!$A$1:$G$70,7,FALSE)</f>
        <v>N3</v>
      </c>
      <c r="C25" s="479" t="s">
        <v>7</v>
      </c>
      <c r="D25" s="203" t="str">
        <f>VLOOKUP(Table119[[#This Row],[Course]],'TSD-Data'!$A$1:$G$70,2,FALSE)</f>
        <v>A-493-0092</v>
      </c>
      <c r="E25" s="203">
        <f>VLOOKUP(Table119[[#This Row],[Course]],'TSD-Data'!$A$1:$G$70,3,FALSE)</f>
        <v>5891</v>
      </c>
      <c r="F25" s="69">
        <v>1044</v>
      </c>
      <c r="G25" s="203">
        <f>VLOOKUP(Table119[[#This Row],[Course]],'TSD-Data'!$A$1:$G$70,4,FALSE)</f>
        <v>25</v>
      </c>
      <c r="H25" s="275">
        <f>Table119[[#This Row],[FY26 FLT Quota Need]]/Table119[[#This Row],[FY26 Quota Per course]]</f>
        <v>41.76</v>
      </c>
      <c r="I25" s="258">
        <f>ROUNDUP(Table119[[#This Row],[FY26 Courses Needed]],0)</f>
        <v>42</v>
      </c>
      <c r="J25" s="410">
        <v>7</v>
      </c>
      <c r="K25" s="339">
        <f>VLOOKUP(Table119[[#This Row],[Course]],'TSD-Data'!$A$1:$G$70,6,FALSE)</f>
        <v>24</v>
      </c>
      <c r="L25" s="204">
        <f>Table119[[#This Row],[FY26 NSETC Course '# projections]]*Table119[[#This Row],[FY26 Hours Per Course]]</f>
        <v>168</v>
      </c>
      <c r="M25" s="340">
        <f>Table119[[#This Row],[FY26 NSETC Course '# projections]]-Table119[[#This Row],[FY26 Courses Needed Round UP]]</f>
        <v>-35</v>
      </c>
      <c r="N25" s="341">
        <f t="shared" si="0"/>
        <v>0.16762452107279693</v>
      </c>
      <c r="O25" s="259"/>
      <c r="P25" s="270">
        <v>10</v>
      </c>
      <c r="Q25" s="280">
        <v>25</v>
      </c>
      <c r="R25" s="36">
        <v>29</v>
      </c>
      <c r="S25" s="260">
        <v>0</v>
      </c>
      <c r="T25" s="260">
        <v>5</v>
      </c>
      <c r="U25" s="281">
        <f>(Table119[[#This Row],[FY25 Grads]]+Table119[[#This Row],[FY25 Fails]])/Table119[[#This Row],[FY25 Total Courses]]</f>
        <v>2.9</v>
      </c>
      <c r="V25" s="140">
        <v>813</v>
      </c>
      <c r="W25" s="276">
        <f t="shared" si="6"/>
        <v>3.5670356703567038E-2</v>
      </c>
      <c r="X25" s="206">
        <v>797</v>
      </c>
      <c r="Y25" s="207">
        <v>32</v>
      </c>
      <c r="Z25" s="208"/>
      <c r="AA25" s="287">
        <v>7</v>
      </c>
      <c r="AB25" s="284">
        <v>25</v>
      </c>
      <c r="AC25" s="288">
        <v>77</v>
      </c>
      <c r="AD25" s="289">
        <v>0</v>
      </c>
      <c r="AE25" s="301">
        <f t="shared" si="7"/>
        <v>11</v>
      </c>
      <c r="AF25" s="36">
        <v>930</v>
      </c>
      <c r="AG25" s="302">
        <f t="shared" si="8"/>
        <v>8.2795698924731181E-2</v>
      </c>
      <c r="AH25" s="208"/>
      <c r="AI25" s="280">
        <v>8</v>
      </c>
      <c r="AJ25" s="300">
        <v>25</v>
      </c>
      <c r="AK25" s="260">
        <v>91</v>
      </c>
      <c r="AL25" s="260">
        <v>0</v>
      </c>
      <c r="AM25" s="304">
        <f t="shared" si="9"/>
        <v>11.375</v>
      </c>
      <c r="AN25" s="37">
        <v>385</v>
      </c>
      <c r="AO25" s="302">
        <f t="shared" si="10"/>
        <v>0.23636363636363636</v>
      </c>
      <c r="AP25" s="306"/>
      <c r="AQ25" s="287">
        <v>7</v>
      </c>
      <c r="AR25" s="287">
        <v>25</v>
      </c>
      <c r="AS25" s="307">
        <v>105</v>
      </c>
      <c r="AT25" s="307">
        <v>0</v>
      </c>
      <c r="AU25" s="311">
        <f>(Table119[[#This Row],[FY22 Grads]]+Table119[[#This Row],[FY22 Fails]])/Table119[[#This Row],[FY22 Total Courses]]</f>
        <v>15</v>
      </c>
      <c r="AV25" s="308">
        <v>276</v>
      </c>
      <c r="AW25" s="302">
        <f t="shared" si="12"/>
        <v>0.38043478260869568</v>
      </c>
      <c r="AX25" s="246" t="s">
        <v>439</v>
      </c>
    </row>
    <row r="26" spans="1:50" s="209" customFormat="1" ht="47.25" x14ac:dyDescent="0.25">
      <c r="A26" s="480" t="s">
        <v>50</v>
      </c>
      <c r="B26" s="203" t="str">
        <f>VLOOKUP(Table119[[#This Row],[Course]],'TSD-Data'!$A$1:$G$70,7,FALSE)</f>
        <v>N3</v>
      </c>
      <c r="C26" s="203" t="s">
        <v>86</v>
      </c>
      <c r="D26" s="203" t="str">
        <f>VLOOKUP(Table119[[#This Row],[Course]],'TSD-Data'!$A$1:$G$70,2,FALSE)</f>
        <v>A-493-0331</v>
      </c>
      <c r="E26" s="203" t="str">
        <f>VLOOKUP(Table119[[#This Row],[Course]],'TSD-Data'!$A$1:$G$70,3,FALSE)</f>
        <v>10UG</v>
      </c>
      <c r="F26" s="203">
        <v>1113</v>
      </c>
      <c r="G26" s="203">
        <f>VLOOKUP(Table119[[#This Row],[Course]],'TSD-Data'!$A$1:$G$70,4,FALSE)</f>
        <v>45</v>
      </c>
      <c r="H26" s="275">
        <f>Table119[[#This Row],[FY26 FLT Quota Need]]/Table119[[#This Row],[FY26 Quota Per course]]</f>
        <v>24.733333333333334</v>
      </c>
      <c r="I26" s="258">
        <f>ROUNDUP(Table119[[#This Row],[FY26 Courses Needed]],0)</f>
        <v>25</v>
      </c>
      <c r="J26" s="410">
        <v>19</v>
      </c>
      <c r="K26" s="339">
        <f>VLOOKUP(Table119[[#This Row],[Course]],'TSD-Data'!$A$1:$G$70,6,FALSE)</f>
        <v>24</v>
      </c>
      <c r="L26" s="204">
        <f>Table119[[#This Row],[FY26 NSETC Course '# projections]]*Table119[[#This Row],[FY26 Hours Per Course]]</f>
        <v>456</v>
      </c>
      <c r="M26" s="340">
        <f>Table119[[#This Row],[FY26 NSETC Course '# projections]]-Table119[[#This Row],[FY26 Courses Needed Round UP]]</f>
        <v>-6</v>
      </c>
      <c r="N26" s="341">
        <f t="shared" si="0"/>
        <v>0.76819407008086249</v>
      </c>
      <c r="O26" s="259"/>
      <c r="P26" s="270">
        <v>19</v>
      </c>
      <c r="Q26" s="280">
        <v>40</v>
      </c>
      <c r="R26" s="36">
        <v>471</v>
      </c>
      <c r="S26" s="260">
        <v>10</v>
      </c>
      <c r="T26" s="260">
        <v>92</v>
      </c>
      <c r="U26" s="281">
        <f>(Table119[[#This Row],[FY25 Grads]]+Table119[[#This Row],[FY25 Fails]])/Table119[[#This Row],[FY25 Total Courses]]</f>
        <v>25.315789473684209</v>
      </c>
      <c r="V26" s="140">
        <v>1075</v>
      </c>
      <c r="W26" s="276">
        <f t="shared" si="6"/>
        <v>0.4474418604651163</v>
      </c>
      <c r="X26" s="206">
        <v>727</v>
      </c>
      <c r="Y26" s="207">
        <v>19</v>
      </c>
      <c r="Z26" s="208"/>
      <c r="AA26" s="287">
        <v>15</v>
      </c>
      <c r="AB26" s="284">
        <v>40</v>
      </c>
      <c r="AC26" s="290">
        <v>504</v>
      </c>
      <c r="AD26" s="289">
        <v>12</v>
      </c>
      <c r="AE26" s="301">
        <f t="shared" si="7"/>
        <v>34.4</v>
      </c>
      <c r="AF26" s="36">
        <v>893</v>
      </c>
      <c r="AG26" s="302">
        <f t="shared" si="8"/>
        <v>0.57782754759238519</v>
      </c>
      <c r="AH26" s="208"/>
      <c r="AI26" s="280">
        <v>12</v>
      </c>
      <c r="AJ26" s="300">
        <v>40</v>
      </c>
      <c r="AK26" s="260">
        <v>436</v>
      </c>
      <c r="AL26" s="260">
        <v>5</v>
      </c>
      <c r="AM26" s="304">
        <f t="shared" si="9"/>
        <v>36.75</v>
      </c>
      <c r="AN26" s="37">
        <v>289</v>
      </c>
      <c r="AO26" s="312">
        <f t="shared" si="10"/>
        <v>1.5259515570934257</v>
      </c>
      <c r="AP26" s="306"/>
      <c r="AQ26" s="287">
        <v>14</v>
      </c>
      <c r="AR26" s="287">
        <v>40</v>
      </c>
      <c r="AS26" s="307">
        <v>514</v>
      </c>
      <c r="AT26" s="307">
        <v>10</v>
      </c>
      <c r="AU26" s="311">
        <f>(Table119[[#This Row],[FY22 Grads]]+Table119[[#This Row],[FY22 Fails]])/Table119[[#This Row],[FY22 Total Courses]]</f>
        <v>37.428571428571431</v>
      </c>
      <c r="AV26" s="308">
        <v>253</v>
      </c>
      <c r="AW26" s="276">
        <f t="shared" si="12"/>
        <v>2.0711462450592886</v>
      </c>
      <c r="AX26" s="246" t="s">
        <v>624</v>
      </c>
    </row>
    <row r="27" spans="1:50" s="209" customFormat="1" ht="63" x14ac:dyDescent="0.25">
      <c r="A27" s="480" t="s">
        <v>51</v>
      </c>
      <c r="B27" s="203" t="str">
        <f>VLOOKUP(Table119[[#This Row],[Course]],'TSD-Data'!$A$1:$G$70,7,FALSE)</f>
        <v>N3</v>
      </c>
      <c r="C27" s="203" t="s">
        <v>86</v>
      </c>
      <c r="D27" s="203" t="str">
        <f>VLOOKUP(Table119[[#This Row],[Course]],'TSD-Data'!$A$1:$G$70,2,FALSE)</f>
        <v>A-493-0335</v>
      </c>
      <c r="E27" s="203" t="str">
        <f>VLOOKUP(Table119[[#This Row],[Course]],'TSD-Data'!$A$1:$G$70,3,FALSE)</f>
        <v>09ND</v>
      </c>
      <c r="F27" s="203">
        <v>674</v>
      </c>
      <c r="G27" s="203">
        <f>VLOOKUP(Table119[[#This Row],[Course]],'TSD-Data'!$A$1:$G$70,4,FALSE)</f>
        <v>45</v>
      </c>
      <c r="H27" s="275">
        <f>Table119[[#This Row],[FY26 FLT Quota Need]]/Table119[[#This Row],[FY26 Quota Per course]]</f>
        <v>14.977777777777778</v>
      </c>
      <c r="I27" s="258">
        <f>ROUNDUP(Table119[[#This Row],[FY26 Courses Needed]],0)</f>
        <v>15</v>
      </c>
      <c r="J27" s="410">
        <v>9</v>
      </c>
      <c r="K27" s="339">
        <f>VLOOKUP(Table119[[#This Row],[Course]],'TSD-Data'!$A$1:$G$70,6,FALSE)</f>
        <v>32</v>
      </c>
      <c r="L27" s="204">
        <f>Table119[[#This Row],[FY26 NSETC Course '# projections]]*Table119[[#This Row],[FY26 Hours Per Course]]</f>
        <v>288</v>
      </c>
      <c r="M27" s="340">
        <f>Table119[[#This Row],[FY26 NSETC Course '# projections]]-Table119[[#This Row],[FY26 Courses Needed Round UP]]</f>
        <v>-6</v>
      </c>
      <c r="N27" s="341">
        <f t="shared" si="0"/>
        <v>0.60089020771513357</v>
      </c>
      <c r="O27" s="259"/>
      <c r="P27" s="270">
        <v>15</v>
      </c>
      <c r="Q27" s="280">
        <v>30</v>
      </c>
      <c r="R27" s="36">
        <v>152</v>
      </c>
      <c r="S27" s="260">
        <v>5</v>
      </c>
      <c r="T27" s="260">
        <v>25</v>
      </c>
      <c r="U27" s="281">
        <f>(Table119[[#This Row],[FY25 Grads]]+Table119[[#This Row],[FY25 Fails]])/Table119[[#This Row],[FY25 Total Courses]]</f>
        <v>10.466666666666667</v>
      </c>
      <c r="V27" s="140">
        <v>553</v>
      </c>
      <c r="W27" s="276">
        <f t="shared" si="6"/>
        <v>0.28390596745027125</v>
      </c>
      <c r="X27" s="206">
        <v>510</v>
      </c>
      <c r="Y27" s="207">
        <v>17</v>
      </c>
      <c r="Z27" s="208"/>
      <c r="AA27" s="287">
        <v>10</v>
      </c>
      <c r="AB27" s="284">
        <v>30</v>
      </c>
      <c r="AC27" s="290">
        <v>225</v>
      </c>
      <c r="AD27" s="289">
        <v>9</v>
      </c>
      <c r="AE27" s="301">
        <f t="shared" si="7"/>
        <v>23.4</v>
      </c>
      <c r="AF27" s="36">
        <v>619</v>
      </c>
      <c r="AG27" s="302">
        <f t="shared" si="8"/>
        <v>0.37802907915993539</v>
      </c>
      <c r="AH27" s="208"/>
      <c r="AI27" s="280">
        <v>11</v>
      </c>
      <c r="AJ27" s="300">
        <v>30</v>
      </c>
      <c r="AK27" s="260">
        <v>250</v>
      </c>
      <c r="AL27" s="260">
        <v>10</v>
      </c>
      <c r="AM27" s="304">
        <f t="shared" si="9"/>
        <v>23.636363636363637</v>
      </c>
      <c r="AN27" s="37">
        <f>347+96</f>
        <v>443</v>
      </c>
      <c r="AO27" s="302">
        <f t="shared" si="10"/>
        <v>0.58690744920993232</v>
      </c>
      <c r="AP27" s="306"/>
      <c r="AQ27" s="287">
        <v>8</v>
      </c>
      <c r="AR27" s="287">
        <v>30</v>
      </c>
      <c r="AS27" s="307">
        <v>150</v>
      </c>
      <c r="AT27" s="307">
        <v>3</v>
      </c>
      <c r="AU27" s="311">
        <f>(Table119[[#This Row],[FY22 Grads]]+Table119[[#This Row],[FY22 Fails]])/Table119[[#This Row],[FY22 Total Courses]]</f>
        <v>19.125</v>
      </c>
      <c r="AV27" s="308">
        <v>132</v>
      </c>
      <c r="AW27" s="302">
        <f t="shared" si="12"/>
        <v>1.1590909090909092</v>
      </c>
      <c r="AX27" s="246" t="s">
        <v>625</v>
      </c>
    </row>
    <row r="28" spans="1:50" s="209" customFormat="1" ht="47.25" x14ac:dyDescent="0.25">
      <c r="A28" s="480" t="s">
        <v>59</v>
      </c>
      <c r="B28" s="203" t="str">
        <f>VLOOKUP(Table119[[#This Row],[Course]],'TSD-Data'!$A$1:$G$70,7,FALSE)</f>
        <v>N5</v>
      </c>
      <c r="C28" s="203" t="s">
        <v>86</v>
      </c>
      <c r="D28" s="203" t="str">
        <f>VLOOKUP(Table119[[#This Row],[Course]],'TSD-Data'!$A$1:$G$70,2,FALSE)</f>
        <v>A-493-0550</v>
      </c>
      <c r="E28" s="203" t="str">
        <f>VLOOKUP(Table119[[#This Row],[Course]],'TSD-Data'!$A$1:$G$70,3,FALSE)</f>
        <v>09K5</v>
      </c>
      <c r="F28" s="203">
        <v>1112</v>
      </c>
      <c r="G28" s="203">
        <f>VLOOKUP(Table119[[#This Row],[Course]],'TSD-Data'!$A$1:$G$70,4,FALSE)</f>
        <v>45</v>
      </c>
      <c r="H28" s="275">
        <f>Table119[[#This Row],[FY26 FLT Quota Need]]/Table119[[#This Row],[FY26 Quota Per course]]</f>
        <v>24.711111111111112</v>
      </c>
      <c r="I28" s="258">
        <f>ROUNDUP(Table119[[#This Row],[FY26 Courses Needed]],0)</f>
        <v>25</v>
      </c>
      <c r="J28" s="410">
        <v>24</v>
      </c>
      <c r="K28" s="339">
        <f>VLOOKUP(Table119[[#This Row],[Course]],'TSD-Data'!$A$1:$G$70,6,FALSE)</f>
        <v>32</v>
      </c>
      <c r="L28" s="204">
        <f>Table119[[#This Row],[FY26 NSETC Course '# projections]]*Table119[[#This Row],[FY26 Hours Per Course]]</f>
        <v>768</v>
      </c>
      <c r="M28" s="204">
        <f>Table119[[#This Row],[FY26 NSETC Course '# projections]]-Table119[[#This Row],[FY26 Courses Needed Round UP]]</f>
        <v>-1</v>
      </c>
      <c r="N28" s="341">
        <f t="shared" si="0"/>
        <v>0.97122302158273377</v>
      </c>
      <c r="O28" s="259"/>
      <c r="P28" s="270">
        <v>27</v>
      </c>
      <c r="Q28" s="280">
        <v>45</v>
      </c>
      <c r="R28" s="36">
        <v>662</v>
      </c>
      <c r="S28" s="260">
        <v>5</v>
      </c>
      <c r="T28" s="260">
        <v>106</v>
      </c>
      <c r="U28" s="281">
        <f>(Table119[[#This Row],[FY25 Grads]]+Table119[[#This Row],[FY25 Fails]])/Table119[[#This Row],[FY25 Total Courses]]</f>
        <v>24.703703703703702</v>
      </c>
      <c r="V28" s="140">
        <v>1606</v>
      </c>
      <c r="W28" s="276">
        <f t="shared" si="6"/>
        <v>0.41531755915317559</v>
      </c>
      <c r="X28" s="206">
        <v>919</v>
      </c>
      <c r="Y28" s="207">
        <v>31</v>
      </c>
      <c r="Z28" s="208"/>
      <c r="AA28" s="287">
        <v>21</v>
      </c>
      <c r="AB28" s="284">
        <v>45</v>
      </c>
      <c r="AC28" s="291">
        <v>740</v>
      </c>
      <c r="AD28" s="292">
        <v>9</v>
      </c>
      <c r="AE28" s="301">
        <f t="shared" si="7"/>
        <v>35.666666666666664</v>
      </c>
      <c r="AF28" s="36">
        <v>990</v>
      </c>
      <c r="AG28" s="302">
        <f t="shared" si="8"/>
        <v>0.75656565656565655</v>
      </c>
      <c r="AH28" s="208"/>
      <c r="AI28" s="280">
        <v>18</v>
      </c>
      <c r="AJ28" s="313">
        <v>30</v>
      </c>
      <c r="AK28" s="260">
        <v>492</v>
      </c>
      <c r="AL28" s="260">
        <v>14</v>
      </c>
      <c r="AM28" s="304">
        <f t="shared" si="9"/>
        <v>28.111111111111111</v>
      </c>
      <c r="AN28" s="37">
        <f>294+163</f>
        <v>457</v>
      </c>
      <c r="AO28" s="312">
        <f t="shared" si="10"/>
        <v>1.1072210065645514</v>
      </c>
      <c r="AP28" s="306"/>
      <c r="AQ28" s="287">
        <v>12</v>
      </c>
      <c r="AR28" s="287">
        <v>30</v>
      </c>
      <c r="AS28" s="307">
        <v>338</v>
      </c>
      <c r="AT28" s="307">
        <v>4</v>
      </c>
      <c r="AU28" s="311">
        <f>(Table119[[#This Row],[FY22 Grads]]+Table119[[#This Row],[FY22 Fails]])/Table119[[#This Row],[FY22 Total Courses]]</f>
        <v>28.5</v>
      </c>
      <c r="AV28" s="308">
        <v>384</v>
      </c>
      <c r="AW28" s="302">
        <f t="shared" si="12"/>
        <v>0.890625</v>
      </c>
      <c r="AX28" s="246" t="s">
        <v>626</v>
      </c>
    </row>
    <row r="29" spans="1:50" s="209" customFormat="1" ht="47.25" x14ac:dyDescent="0.25">
      <c r="A29" s="474" t="s">
        <v>60</v>
      </c>
      <c r="B29" s="203" t="str">
        <f>VLOOKUP(Table119[[#This Row],[Course]],'TSD-Data'!$A$1:$G$70,7,FALSE)</f>
        <v>N5</v>
      </c>
      <c r="C29" s="203" t="s">
        <v>86</v>
      </c>
      <c r="D29" s="203" t="str">
        <f>VLOOKUP(Table119[[#This Row],[Course]],'TSD-Data'!$A$1:$G$70,2,FALSE)</f>
        <v>A-493-0073</v>
      </c>
      <c r="E29" s="203" t="str">
        <f>VLOOKUP(Table119[[#This Row],[Course]],'TSD-Data'!$A$1:$G$70,3,FALSE)</f>
        <v>714S</v>
      </c>
      <c r="F29" s="69">
        <v>698</v>
      </c>
      <c r="G29" s="203">
        <f>VLOOKUP(Table119[[#This Row],[Course]],'TSD-Data'!$A$1:$G$70,4,FALSE)</f>
        <v>30</v>
      </c>
      <c r="H29" s="275">
        <f>Table119[[#This Row],[FY26 FLT Quota Need]]/Table119[[#This Row],[FY26 Quota Per course]]</f>
        <v>23.266666666666666</v>
      </c>
      <c r="I29" s="258">
        <f>ROUNDUP(Table119[[#This Row],[FY26 Courses Needed]],0)</f>
        <v>24</v>
      </c>
      <c r="J29" s="410">
        <v>0</v>
      </c>
      <c r="K29" s="339">
        <f>VLOOKUP(Table119[[#This Row],[Course]],'TSD-Data'!$A$1:$G$70,6,FALSE)</f>
        <v>32</v>
      </c>
      <c r="L29" s="204">
        <f>Table119[[#This Row],[FY26 NSETC Course '# projections]]*Table119[[#This Row],[FY26 Hours Per Course]]</f>
        <v>0</v>
      </c>
      <c r="M29" s="340">
        <f>Table119[[#This Row],[FY26 NSETC Course '# projections]]-Table119[[#This Row],[FY26 Courses Needed Round UP]]</f>
        <v>-24</v>
      </c>
      <c r="N29" s="341">
        <f t="shared" si="0"/>
        <v>0</v>
      </c>
      <c r="O29" s="259"/>
      <c r="P29" s="270">
        <v>10</v>
      </c>
      <c r="Q29" s="280">
        <v>30</v>
      </c>
      <c r="R29" s="36">
        <v>87</v>
      </c>
      <c r="S29" s="260">
        <v>0</v>
      </c>
      <c r="T29" s="260">
        <v>16</v>
      </c>
      <c r="U29" s="281">
        <f>(Table119[[#This Row],[FY25 Grads]]+Table119[[#This Row],[FY25 Fails]])/Table119[[#This Row],[FY25 Total Courses]]</f>
        <v>8.6999999999999993</v>
      </c>
      <c r="V29" s="140">
        <v>614</v>
      </c>
      <c r="W29" s="276">
        <f t="shared" si="6"/>
        <v>0.14169381107491857</v>
      </c>
      <c r="X29" s="206">
        <v>536</v>
      </c>
      <c r="Y29" s="207">
        <v>18</v>
      </c>
      <c r="Z29" s="208"/>
      <c r="AA29" s="287">
        <v>10</v>
      </c>
      <c r="AB29" s="284">
        <v>30</v>
      </c>
      <c r="AC29" s="293">
        <v>165</v>
      </c>
      <c r="AD29" s="292">
        <v>0</v>
      </c>
      <c r="AE29" s="301">
        <f t="shared" si="7"/>
        <v>16.5</v>
      </c>
      <c r="AF29" s="34">
        <v>572</v>
      </c>
      <c r="AG29" s="302">
        <f t="shared" si="8"/>
        <v>0.28846153846153844</v>
      </c>
      <c r="AH29" s="208"/>
      <c r="AI29" s="280">
        <v>7</v>
      </c>
      <c r="AJ29" s="313">
        <v>30</v>
      </c>
      <c r="AK29" s="260">
        <v>175</v>
      </c>
      <c r="AL29" s="260">
        <v>2</v>
      </c>
      <c r="AM29" s="304">
        <f t="shared" si="9"/>
        <v>25.285714285714285</v>
      </c>
      <c r="AN29" s="37">
        <v>480</v>
      </c>
      <c r="AO29" s="302">
        <f t="shared" si="10"/>
        <v>0.36875000000000002</v>
      </c>
      <c r="AP29" s="306"/>
      <c r="AQ29" s="287">
        <v>2</v>
      </c>
      <c r="AR29" s="287">
        <v>30</v>
      </c>
      <c r="AS29" s="307">
        <v>56</v>
      </c>
      <c r="AT29" s="307">
        <v>0</v>
      </c>
      <c r="AU29" s="311">
        <f>(Table119[[#This Row],[FY22 Grads]]+Table119[[#This Row],[FY22 Fails]])/Table119[[#This Row],[FY22 Total Courses]]</f>
        <v>28</v>
      </c>
      <c r="AV29" s="308">
        <v>421</v>
      </c>
      <c r="AW29" s="302">
        <f t="shared" si="12"/>
        <v>0.1330166270783848</v>
      </c>
      <c r="AX29" s="246" t="s">
        <v>627</v>
      </c>
    </row>
    <row r="30" spans="1:50" s="209" customFormat="1" ht="31.5" x14ac:dyDescent="0.25">
      <c r="A30" s="480" t="s">
        <v>61</v>
      </c>
      <c r="B30" s="203" t="str">
        <f>VLOOKUP(Table119[[#This Row],[Course]],'TSD-Data'!$A$1:$G$70,7,FALSE)</f>
        <v>N5</v>
      </c>
      <c r="C30" s="203" t="s">
        <v>86</v>
      </c>
      <c r="D30" s="203" t="str">
        <f>VLOOKUP(Table119[[#This Row],[Course]],'TSD-Data'!$A$1:$G$70,2,FALSE)</f>
        <v>A-493-0078</v>
      </c>
      <c r="E30" s="203">
        <f>VLOOKUP(Table119[[#This Row],[Course]],'TSD-Data'!$A$1:$G$70,3,FALSE)</f>
        <v>1228</v>
      </c>
      <c r="F30" s="203">
        <v>1260</v>
      </c>
      <c r="G30" s="203">
        <f>VLOOKUP(Table119[[#This Row],[Course]],'TSD-Data'!$A$1:$G$70,4,FALSE)</f>
        <v>45</v>
      </c>
      <c r="H30" s="275">
        <f>Table119[[#This Row],[FY26 FLT Quota Need]]/Table119[[#This Row],[FY26 Quota Per course]]</f>
        <v>28</v>
      </c>
      <c r="I30" s="258">
        <f>ROUNDUP(Table119[[#This Row],[FY26 Courses Needed]],0)</f>
        <v>28</v>
      </c>
      <c r="J30" s="410">
        <v>24</v>
      </c>
      <c r="K30" s="339">
        <f>VLOOKUP(Table119[[#This Row],[Course]],'TSD-Data'!$A$1:$G$70,6,FALSE)</f>
        <v>32</v>
      </c>
      <c r="L30" s="204">
        <f>Table119[[#This Row],[FY26 NSETC Course '# projections]]*Table119[[#This Row],[FY26 Hours Per Course]]</f>
        <v>768</v>
      </c>
      <c r="M30" s="340">
        <f>Table119[[#This Row],[FY26 NSETC Course '# projections]]-Table119[[#This Row],[FY26 Courses Needed Round UP]]</f>
        <v>-4</v>
      </c>
      <c r="N30" s="341">
        <f t="shared" si="0"/>
        <v>0.8571428571428571</v>
      </c>
      <c r="O30" s="261"/>
      <c r="P30" s="270">
        <v>23</v>
      </c>
      <c r="Q30" s="280">
        <v>45</v>
      </c>
      <c r="R30" s="35">
        <v>511</v>
      </c>
      <c r="S30" s="278">
        <v>3</v>
      </c>
      <c r="T30" s="278">
        <v>73</v>
      </c>
      <c r="U30" s="282">
        <f>(Table119[[#This Row],[FY25 Grads]]+Table119[[#This Row],[FY25 Fails]])/Table119[[#This Row],[FY25 Total Courses]]</f>
        <v>22.347826086956523</v>
      </c>
      <c r="V30" s="279">
        <v>1162</v>
      </c>
      <c r="W30" s="276">
        <f t="shared" si="6"/>
        <v>0.44234079173838209</v>
      </c>
      <c r="X30" s="210">
        <v>1051</v>
      </c>
      <c r="Y30" s="211">
        <v>36</v>
      </c>
      <c r="Z30" s="208"/>
      <c r="AA30" s="287">
        <v>23</v>
      </c>
      <c r="AB30" s="294">
        <v>45</v>
      </c>
      <c r="AC30" s="293">
        <v>721</v>
      </c>
      <c r="AD30" s="292">
        <v>6</v>
      </c>
      <c r="AE30" s="301">
        <f t="shared" si="7"/>
        <v>31.608695652173914</v>
      </c>
      <c r="AF30" s="36">
        <v>1033</v>
      </c>
      <c r="AG30" s="302">
        <f t="shared" si="8"/>
        <v>0.70377541142303968</v>
      </c>
      <c r="AH30" s="208"/>
      <c r="AI30" s="280">
        <v>20</v>
      </c>
      <c r="AJ30" s="313">
        <v>30</v>
      </c>
      <c r="AK30" s="260">
        <v>558</v>
      </c>
      <c r="AL30" s="260">
        <v>10</v>
      </c>
      <c r="AM30" s="304">
        <f t="shared" si="9"/>
        <v>28.4</v>
      </c>
      <c r="AN30" s="37">
        <v>607</v>
      </c>
      <c r="AO30" s="302">
        <f t="shared" si="10"/>
        <v>0.93574958813838549</v>
      </c>
      <c r="AP30" s="306"/>
      <c r="AQ30" s="314">
        <v>14</v>
      </c>
      <c r="AR30" s="314">
        <v>30</v>
      </c>
      <c r="AS30" s="315">
        <v>307</v>
      </c>
      <c r="AT30" s="315">
        <v>0</v>
      </c>
      <c r="AU30" s="316">
        <f>(Table119[[#This Row],[FY22 Grads]]+Table119[[#This Row],[FY22 Fails]])/Table119[[#This Row],[FY22 Total Courses]]</f>
        <v>21.928571428571427</v>
      </c>
      <c r="AV30" s="317">
        <v>610</v>
      </c>
      <c r="AW30" s="302">
        <f t="shared" si="12"/>
        <v>0.50327868852459012</v>
      </c>
      <c r="AX30" s="247" t="s">
        <v>628</v>
      </c>
    </row>
    <row r="31" spans="1:50" s="209" customFormat="1" ht="30" x14ac:dyDescent="0.25">
      <c r="A31" s="477" t="s">
        <v>52</v>
      </c>
      <c r="B31" s="203" t="str">
        <f>VLOOKUP(Table119[[#This Row],[Course]],'TSD-Data'!$A$1:$G$70,7,FALSE)</f>
        <v>N3</v>
      </c>
      <c r="C31" s="203" t="s">
        <v>86</v>
      </c>
      <c r="D31" s="203" t="str">
        <f>VLOOKUP(Table119[[#This Row],[Course]],'TSD-Data'!$A$1:$G$70,2,FALSE)</f>
        <v>A-493-0085</v>
      </c>
      <c r="E31" s="203">
        <f>VLOOKUP(Table119[[#This Row],[Course]],'TSD-Data'!$A$1:$G$70,3,FALSE)</f>
        <v>3555</v>
      </c>
      <c r="F31" s="203">
        <v>835</v>
      </c>
      <c r="G31" s="203">
        <f>VLOOKUP(Table119[[#This Row],[Course]],'TSD-Data'!$A$1:$G$70,4,FALSE)</f>
        <v>45</v>
      </c>
      <c r="H31" s="275">
        <f>Table119[[#This Row],[FY26 FLT Quota Need]]/Table119[[#This Row],[FY26 Quota Per course]]</f>
        <v>18.555555555555557</v>
      </c>
      <c r="I31" s="258">
        <f>ROUNDUP(Table119[[#This Row],[FY26 Courses Needed]],0)</f>
        <v>19</v>
      </c>
      <c r="J31" s="410">
        <v>9</v>
      </c>
      <c r="K31" s="339">
        <f>VLOOKUP(Table119[[#This Row],[Course]],'TSD-Data'!$A$1:$G$70,6,FALSE)</f>
        <v>32</v>
      </c>
      <c r="L31" s="204">
        <f>Table119[[#This Row],[FY26 NSETC Course '# projections]]*Table119[[#This Row],[FY26 Hours Per Course]]</f>
        <v>288</v>
      </c>
      <c r="M31" s="340">
        <f>Table119[[#This Row],[FY26 NSETC Course '# projections]]-Table119[[#This Row],[FY26 Courses Needed Round UP]]</f>
        <v>-10</v>
      </c>
      <c r="N31" s="341">
        <f t="shared" si="0"/>
        <v>0.48502994011976047</v>
      </c>
      <c r="O31" s="259"/>
      <c r="P31" s="270">
        <v>15</v>
      </c>
      <c r="Q31" s="280">
        <v>45</v>
      </c>
      <c r="R31" s="36">
        <v>144</v>
      </c>
      <c r="S31" s="260">
        <v>5</v>
      </c>
      <c r="T31" s="260">
        <v>27</v>
      </c>
      <c r="U31" s="281">
        <f>(Table119[[#This Row],[FY25 Grads]]+Table119[[#This Row],[FY25 Fails]])/Table119[[#This Row],[FY25 Total Courses]]</f>
        <v>9.9333333333333336</v>
      </c>
      <c r="V31" s="140">
        <v>685</v>
      </c>
      <c r="W31" s="276">
        <f t="shared" si="6"/>
        <v>0.21751824817518248</v>
      </c>
      <c r="X31" s="265">
        <v>657</v>
      </c>
      <c r="Y31" s="266">
        <v>22</v>
      </c>
      <c r="Z31" s="267"/>
      <c r="AA31" s="295">
        <v>10</v>
      </c>
      <c r="AB31" s="284">
        <v>30</v>
      </c>
      <c r="AC31" s="293">
        <v>248</v>
      </c>
      <c r="AD31" s="292">
        <v>11</v>
      </c>
      <c r="AE31" s="301">
        <f t="shared" si="7"/>
        <v>25.9</v>
      </c>
      <c r="AF31" s="34">
        <v>605</v>
      </c>
      <c r="AG31" s="302">
        <f t="shared" si="8"/>
        <v>0.42809917355371901</v>
      </c>
      <c r="AH31" s="268"/>
      <c r="AI31" s="318">
        <v>7</v>
      </c>
      <c r="AJ31" s="313">
        <v>30</v>
      </c>
      <c r="AK31" s="260">
        <v>163</v>
      </c>
      <c r="AL31" s="260">
        <v>6</v>
      </c>
      <c r="AM31" s="304">
        <f t="shared" si="9"/>
        <v>24.142857142857142</v>
      </c>
      <c r="AN31" s="37">
        <v>168</v>
      </c>
      <c r="AO31" s="312">
        <f t="shared" si="10"/>
        <v>1.0059523809523809</v>
      </c>
      <c r="AP31" s="319"/>
      <c r="AQ31" s="295">
        <v>4</v>
      </c>
      <c r="AR31" s="287">
        <v>30</v>
      </c>
      <c r="AS31" s="307">
        <v>113</v>
      </c>
      <c r="AT31" s="307">
        <v>0</v>
      </c>
      <c r="AU31" s="311">
        <f>(Table119[[#This Row],[FY22 Grads]]+Table119[[#This Row],[FY22 Fails]])/Table119[[#This Row],[FY22 Total Courses]]</f>
        <v>28.25</v>
      </c>
      <c r="AV31" s="308">
        <v>191</v>
      </c>
      <c r="AW31" s="302">
        <f t="shared" si="12"/>
        <v>0.59162303664921467</v>
      </c>
      <c r="AX31" s="246" t="s">
        <v>52</v>
      </c>
    </row>
    <row r="32" spans="1:50" ht="45" x14ac:dyDescent="0.25">
      <c r="A32" s="477" t="s">
        <v>465</v>
      </c>
      <c r="B32" s="203" t="str">
        <f>VLOOKUP(Table119[[#This Row],[Course]],'TSD-Data'!$A$1:$G$70,7,FALSE)</f>
        <v>N3</v>
      </c>
      <c r="C32" s="203" t="s">
        <v>86</v>
      </c>
      <c r="D32" s="203" t="str">
        <f>VLOOKUP(Table119[[#This Row],[Course]],'TSD-Data'!$A$1:$G$70,2,FALSE)</f>
        <v>TBD</v>
      </c>
      <c r="E32" s="203" t="str">
        <f>VLOOKUP(Table119[[#This Row],[Course]],'TSD-Data'!$A$1:$G$70,3,FALSE)</f>
        <v>TBD</v>
      </c>
      <c r="F32" s="69">
        <v>547</v>
      </c>
      <c r="G32" s="203" t="str">
        <f>VLOOKUP(Table119[[#This Row],[Course]],'TSD-Data'!$A$1:$G$70,4,FALSE)</f>
        <v>TBD</v>
      </c>
      <c r="H32" s="275" t="s">
        <v>236</v>
      </c>
      <c r="I32" s="275" t="s">
        <v>236</v>
      </c>
      <c r="J32" s="275" t="s">
        <v>236</v>
      </c>
      <c r="K32" s="275" t="s">
        <v>236</v>
      </c>
      <c r="L32" s="275" t="s">
        <v>236</v>
      </c>
      <c r="M32" s="275" t="s">
        <v>236</v>
      </c>
      <c r="N32" s="341" t="str">
        <f t="shared" si="0"/>
        <v>N/A</v>
      </c>
      <c r="O32" s="259"/>
      <c r="P32" s="470"/>
      <c r="Q32" s="471"/>
      <c r="R32" s="471"/>
      <c r="S32" s="471"/>
      <c r="T32" s="471"/>
      <c r="U32" s="472"/>
      <c r="V32" s="470"/>
      <c r="W32" s="276" t="str">
        <f t="shared" si="6"/>
        <v>N/A</v>
      </c>
      <c r="X32" s="265"/>
      <c r="Y32" s="266"/>
      <c r="Z32" s="267"/>
      <c r="AA32" s="458"/>
      <c r="AB32" s="458"/>
      <c r="AC32" s="458"/>
      <c r="AD32" s="458"/>
      <c r="AE32" s="458"/>
      <c r="AF32" s="458"/>
      <c r="AG32" s="458"/>
      <c r="AH32" s="268"/>
      <c r="AI32" s="458"/>
      <c r="AJ32" s="458"/>
      <c r="AK32" s="458"/>
      <c r="AL32" s="458"/>
      <c r="AM32" s="458"/>
      <c r="AN32" s="458"/>
      <c r="AO32" s="458"/>
      <c r="AP32" s="319"/>
      <c r="AQ32" s="458"/>
      <c r="AR32" s="458"/>
      <c r="AS32" s="458"/>
      <c r="AT32" s="458"/>
      <c r="AU32" s="458"/>
      <c r="AV32" s="458"/>
      <c r="AW32" s="458"/>
      <c r="AX32" s="246" t="s">
        <v>465</v>
      </c>
    </row>
    <row r="33" spans="1:50" ht="47.25" x14ac:dyDescent="0.25">
      <c r="A33" s="474" t="s">
        <v>35</v>
      </c>
      <c r="B33" s="203" t="str">
        <f>VLOOKUP(Table119[[#This Row],[Course]],'TSD-Data'!$A$1:$G$70,7,FALSE)</f>
        <v>N4</v>
      </c>
      <c r="C33" s="479" t="s">
        <v>7</v>
      </c>
      <c r="D33" s="203" t="str">
        <f>VLOOKUP(Table119[[#This Row],[Course]],'TSD-Data'!$A$1:$G$70,2,FALSE)</f>
        <v>A-493-2501</v>
      </c>
      <c r="E33" s="203" t="str">
        <f>VLOOKUP(Table119[[#This Row],[Course]],'TSD-Data'!$A$1:$G$70,3,FALSE)</f>
        <v>05ZE</v>
      </c>
      <c r="F33" s="203">
        <v>1085</v>
      </c>
      <c r="G33" s="203">
        <f>VLOOKUP(Table119[[#This Row],[Course]],'TSD-Data'!$A$1:$G$70,4,FALSE)</f>
        <v>30</v>
      </c>
      <c r="H33" s="275">
        <f>Table119[[#This Row],[FY26 FLT Quota Need]]/Table119[[#This Row],[FY26 Quota Per course]]</f>
        <v>36.166666666666664</v>
      </c>
      <c r="I33" s="258">
        <f>ROUNDUP(Table119[[#This Row],[FY26 Courses Needed]],0)</f>
        <v>37</v>
      </c>
      <c r="J33" s="410">
        <v>30</v>
      </c>
      <c r="K33" s="339">
        <f>VLOOKUP(Table119[[#This Row],[Course]],'TSD-Data'!$A$1:$G$70,6,FALSE)</f>
        <v>8</v>
      </c>
      <c r="L33" s="339">
        <f>Table119[[#This Row],[FY26 NSETC Course '# projections]]*Table119[[#This Row],[FY26 Hours Per Course]]</f>
        <v>240</v>
      </c>
      <c r="M33" s="340">
        <f>Table119[[#This Row],[FY26 NSETC Course '# projections]]-Table119[[#This Row],[FY26 Courses Needed Round UP]]</f>
        <v>-7</v>
      </c>
      <c r="N33" s="341">
        <f t="shared" si="0"/>
        <v>0.82949308755760365</v>
      </c>
      <c r="O33" s="259"/>
      <c r="P33" s="270">
        <v>22</v>
      </c>
      <c r="Q33" s="270">
        <v>30</v>
      </c>
      <c r="R33" s="140">
        <v>112</v>
      </c>
      <c r="S33" s="140">
        <v>0</v>
      </c>
      <c r="T33" s="140">
        <v>23</v>
      </c>
      <c r="U33" s="281">
        <f>(Table119[[#This Row],[FY25 Grads]]+Table119[[#This Row],[FY25 Fails]])/Table119[[#This Row],[FY25 Total Courses]]</f>
        <v>5.0909090909090908</v>
      </c>
      <c r="V33" s="140">
        <v>987</v>
      </c>
      <c r="W33" s="276">
        <f t="shared" si="6"/>
        <v>0.11347517730496454</v>
      </c>
      <c r="X33" s="265">
        <v>1323</v>
      </c>
      <c r="Y33" s="265">
        <v>45</v>
      </c>
      <c r="Z33" s="267"/>
      <c r="AA33" s="296">
        <v>21</v>
      </c>
      <c r="AB33" s="297">
        <v>25</v>
      </c>
      <c r="AC33" s="298">
        <v>406</v>
      </c>
      <c r="AD33" s="298">
        <v>0</v>
      </c>
      <c r="AE33" s="301">
        <f t="shared" ref="AE33:AE50" si="13">AVERAGE(AC33+AD33)/AA33</f>
        <v>19.333333333333332</v>
      </c>
      <c r="AF33" s="34">
        <v>1440</v>
      </c>
      <c r="AG33" s="302">
        <f t="shared" ref="AG33:AG35" si="14">SUM(AC33+AD33)/AF33</f>
        <v>0.28194444444444444</v>
      </c>
      <c r="AH33" s="268"/>
      <c r="AI33" s="325">
        <v>21</v>
      </c>
      <c r="AJ33" s="270">
        <v>25</v>
      </c>
      <c r="AK33" s="140">
        <v>269</v>
      </c>
      <c r="AL33" s="140">
        <v>0</v>
      </c>
      <c r="AM33" s="304">
        <f t="shared" ref="AM33:AM35" si="15">AVERAGE(AK33+AL33)/AI33</f>
        <v>12.80952380952381</v>
      </c>
      <c r="AN33" s="292">
        <v>575</v>
      </c>
      <c r="AO33" s="302">
        <f t="shared" ref="AO33:AO35" si="16">SUM(AK33+AL33)/AN33</f>
        <v>0.46782608695652173</v>
      </c>
      <c r="AP33" s="319"/>
      <c r="AQ33" s="295">
        <v>20</v>
      </c>
      <c r="AR33" s="287">
        <v>25</v>
      </c>
      <c r="AS33" s="307">
        <v>303</v>
      </c>
      <c r="AT33" s="307">
        <v>0</v>
      </c>
      <c r="AU33" s="321">
        <v>15.15</v>
      </c>
      <c r="AV33" s="308">
        <v>275</v>
      </c>
      <c r="AW33" s="309">
        <f t="shared" ref="AW33:AW35" si="17">SUM(AS33+AT33)/AV33</f>
        <v>1.1018181818181818</v>
      </c>
      <c r="AX33" s="269" t="s">
        <v>35</v>
      </c>
    </row>
    <row r="34" spans="1:50" ht="63" x14ac:dyDescent="0.25">
      <c r="A34" s="480" t="s">
        <v>39</v>
      </c>
      <c r="B34" s="203" t="str">
        <f>VLOOKUP(Table119[[#This Row],[Course]],'TSD-Data'!$A$1:$G$70,7,FALSE)</f>
        <v>N5</v>
      </c>
      <c r="C34" s="203" t="s">
        <v>86</v>
      </c>
      <c r="D34" s="203" t="str">
        <f>VLOOKUP(Table119[[#This Row],[Course]],'TSD-Data'!$A$1:$G$70,2,FALSE)</f>
        <v>A-570-0100</v>
      </c>
      <c r="E34" s="203" t="str">
        <f>VLOOKUP(Table119[[#This Row],[Course]],'TSD-Data'!$A$1:$G$70,3,FALSE)</f>
        <v>18B7</v>
      </c>
      <c r="F34" s="203">
        <v>804</v>
      </c>
      <c r="G34" s="203">
        <f>VLOOKUP(Table119[[#This Row],[Course]],'TSD-Data'!$A$1:$G$70,4,FALSE)</f>
        <v>45</v>
      </c>
      <c r="H34" s="275">
        <f>Table119[[#This Row],[FY26 FLT Quota Need]]/Table119[[#This Row],[FY26 Quota Per course]]</f>
        <v>17.866666666666667</v>
      </c>
      <c r="I34" s="258">
        <f>ROUNDUP(Table119[[#This Row],[FY26 Courses Needed]],0)</f>
        <v>18</v>
      </c>
      <c r="J34" s="410">
        <v>17</v>
      </c>
      <c r="K34" s="339">
        <f>VLOOKUP(Table119[[#This Row],[Course]],'TSD-Data'!$A$1:$G$70,6,FALSE)</f>
        <v>16</v>
      </c>
      <c r="L34" s="204">
        <f>Table119[[#This Row],[FY26 NSETC Course '# projections]]*Table119[[#This Row],[FY26 Hours Per Course]]</f>
        <v>272</v>
      </c>
      <c r="M34" s="340">
        <f>Table119[[#This Row],[FY26 NSETC Course '# projections]]-Table119[[#This Row],[FY26 Courses Needed Round UP]]</f>
        <v>-1</v>
      </c>
      <c r="N34" s="341">
        <f t="shared" ref="N34:N51" si="18">IFERROR(J34*G34/F34, "N/A")</f>
        <v>0.95149253731343286</v>
      </c>
      <c r="O34" s="259"/>
      <c r="P34" s="270">
        <v>18</v>
      </c>
      <c r="Q34" s="280">
        <v>45</v>
      </c>
      <c r="R34" s="36">
        <v>217</v>
      </c>
      <c r="S34" s="260">
        <v>25</v>
      </c>
      <c r="T34" s="260">
        <v>57</v>
      </c>
      <c r="U34" s="281">
        <f>(Table119[[#This Row],[FY25 Grads]]+Table119[[#This Row],[FY25 Fails]])/Table119[[#This Row],[FY25 Total Courses]]</f>
        <v>13.444444444444445</v>
      </c>
      <c r="V34" s="140">
        <v>808</v>
      </c>
      <c r="W34" s="276">
        <f t="shared" si="6"/>
        <v>0.29950495049504949</v>
      </c>
      <c r="X34" s="265">
        <v>659</v>
      </c>
      <c r="Y34" s="266">
        <v>22</v>
      </c>
      <c r="Z34" s="267"/>
      <c r="AA34" s="295">
        <v>15</v>
      </c>
      <c r="AB34" s="297">
        <v>30</v>
      </c>
      <c r="AC34" s="299">
        <v>309</v>
      </c>
      <c r="AD34" s="292">
        <v>29</v>
      </c>
      <c r="AE34" s="301">
        <f t="shared" si="13"/>
        <v>22.533333333333335</v>
      </c>
      <c r="AF34" s="34">
        <v>595</v>
      </c>
      <c r="AG34" s="302">
        <f t="shared" si="14"/>
        <v>0.56806722689075628</v>
      </c>
      <c r="AH34" s="268"/>
      <c r="AI34" s="318">
        <v>8</v>
      </c>
      <c r="AJ34" s="313">
        <v>30</v>
      </c>
      <c r="AK34" s="260">
        <v>173</v>
      </c>
      <c r="AL34" s="260">
        <v>24</v>
      </c>
      <c r="AM34" s="304">
        <f t="shared" si="15"/>
        <v>24.625</v>
      </c>
      <c r="AN34" s="37">
        <v>220</v>
      </c>
      <c r="AO34" s="302">
        <f t="shared" si="16"/>
        <v>0.8954545454545455</v>
      </c>
      <c r="AP34" s="319"/>
      <c r="AQ34" s="295">
        <v>10</v>
      </c>
      <c r="AR34" s="287">
        <v>30</v>
      </c>
      <c r="AS34" s="307">
        <v>244</v>
      </c>
      <c r="AT34" s="307">
        <v>22</v>
      </c>
      <c r="AU34" s="311">
        <f>(Table119[[#This Row],[FY22 Grads]]+Table119[[#This Row],[FY22 Fails]])/Table119[[#This Row],[FY22 Total Courses]]</f>
        <v>26.6</v>
      </c>
      <c r="AV34" s="308">
        <v>305</v>
      </c>
      <c r="AW34" s="320">
        <f t="shared" si="17"/>
        <v>0.87213114754098364</v>
      </c>
      <c r="AX34" s="246" t="s">
        <v>629</v>
      </c>
    </row>
    <row r="35" spans="1:50" ht="30" x14ac:dyDescent="0.25">
      <c r="A35" s="477" t="s">
        <v>53</v>
      </c>
      <c r="B35" s="203" t="str">
        <f>VLOOKUP(Table119[[#This Row],[Course]],'TSD-Data'!$A$1:$G$70,7,FALSE)</f>
        <v>N3</v>
      </c>
      <c r="C35" s="479" t="s">
        <v>7</v>
      </c>
      <c r="D35" s="203" t="str">
        <f>VLOOKUP(Table119[[#This Row],[Course]],'TSD-Data'!$A$1:$G$70,2,FALSE)</f>
        <v>A-493-0072</v>
      </c>
      <c r="E35" s="203" t="str">
        <f>VLOOKUP(Table119[[#This Row],[Course]],'TSD-Data'!$A$1:$G$70,3,FALSE)</f>
        <v>713U</v>
      </c>
      <c r="F35" s="69">
        <v>1671</v>
      </c>
      <c r="G35" s="203">
        <f>VLOOKUP(Table119[[#This Row],[Course]],'TSD-Data'!$A$1:$G$70,4,FALSE)</f>
        <v>30</v>
      </c>
      <c r="H35" s="275">
        <f>Table119[[#This Row],[FY26 FLT Quota Need]]/Table119[[#This Row],[FY26 Quota Per course]]</f>
        <v>55.7</v>
      </c>
      <c r="I35" s="258">
        <f>ROUNDUP(Table119[[#This Row],[FY26 Courses Needed]],0)</f>
        <v>56</v>
      </c>
      <c r="J35" s="410">
        <v>25</v>
      </c>
      <c r="K35" s="339">
        <f>VLOOKUP(Table119[[#This Row],[Course]],'TSD-Data'!$A$1:$G$70,6,FALSE)</f>
        <v>40</v>
      </c>
      <c r="L35" s="204">
        <f>Table119[[#This Row],[FY26 NSETC Course '# projections]]*Table119[[#This Row],[FY26 Hours Per Course]]</f>
        <v>1000</v>
      </c>
      <c r="M35" s="340">
        <f>Table119[[#This Row],[FY26 NSETC Course '# projections]]-Table119[[#This Row],[FY26 Courses Needed Round UP]]</f>
        <v>-31</v>
      </c>
      <c r="N35" s="341">
        <f t="shared" si="18"/>
        <v>0.44883303411131059</v>
      </c>
      <c r="O35" s="259"/>
      <c r="P35" s="270">
        <v>25</v>
      </c>
      <c r="Q35" s="280">
        <v>30</v>
      </c>
      <c r="R35" s="36">
        <v>323</v>
      </c>
      <c r="S35" s="260">
        <v>5</v>
      </c>
      <c r="T35" s="260">
        <v>57</v>
      </c>
      <c r="U35" s="281">
        <f>(Table119[[#This Row],[FY25 Grads]]+Table119[[#This Row],[FY25 Fails]])/Table119[[#This Row],[FY25 Total Courses]]</f>
        <v>13.12</v>
      </c>
      <c r="V35" s="140">
        <v>1437</v>
      </c>
      <c r="W35" s="276">
        <f t="shared" si="6"/>
        <v>0.22825330549756437</v>
      </c>
      <c r="X35" s="265">
        <v>1043</v>
      </c>
      <c r="Y35" s="266">
        <v>35</v>
      </c>
      <c r="Z35" s="267"/>
      <c r="AA35" s="295">
        <v>25</v>
      </c>
      <c r="AB35" s="297">
        <v>30</v>
      </c>
      <c r="AC35" s="299">
        <v>553</v>
      </c>
      <c r="AD35" s="292">
        <v>1</v>
      </c>
      <c r="AE35" s="301">
        <f t="shared" si="13"/>
        <v>22.16</v>
      </c>
      <c r="AF35" s="34">
        <v>1181</v>
      </c>
      <c r="AG35" s="302">
        <f t="shared" si="14"/>
        <v>0.4690939881456393</v>
      </c>
      <c r="AH35" s="268"/>
      <c r="AI35" s="318">
        <v>24</v>
      </c>
      <c r="AJ35" s="313">
        <v>30</v>
      </c>
      <c r="AK35" s="260">
        <v>596</v>
      </c>
      <c r="AL35" s="260">
        <v>0</v>
      </c>
      <c r="AM35" s="304">
        <f t="shared" si="15"/>
        <v>24.833333333333332</v>
      </c>
      <c r="AN35" s="37">
        <v>683</v>
      </c>
      <c r="AO35" s="302">
        <f t="shared" si="16"/>
        <v>0.87262079062957543</v>
      </c>
      <c r="AP35" s="319"/>
      <c r="AQ35" s="295">
        <v>22</v>
      </c>
      <c r="AR35" s="287">
        <v>30</v>
      </c>
      <c r="AS35" s="307">
        <v>535</v>
      </c>
      <c r="AT35" s="307">
        <v>1</v>
      </c>
      <c r="AU35" s="311">
        <f>(Table119[[#This Row],[FY22 Grads]]+Table119[[#This Row],[FY22 Fails]])/Table119[[#This Row],[FY22 Total Courses]]</f>
        <v>24.363636363636363</v>
      </c>
      <c r="AV35" s="308">
        <v>663</v>
      </c>
      <c r="AW35" s="302">
        <f t="shared" si="17"/>
        <v>0.80844645550527905</v>
      </c>
      <c r="AX35" s="246" t="s">
        <v>53</v>
      </c>
    </row>
    <row r="36" spans="1:50" ht="26.25" x14ac:dyDescent="0.25">
      <c r="A36" s="477" t="s">
        <v>375</v>
      </c>
      <c r="B36" s="203" t="str">
        <f>VLOOKUP(Table119[[#This Row],[Course]],'TSD-Data'!$A$1:$G$70,7,FALSE)</f>
        <v>N1</v>
      </c>
      <c r="C36" s="203" t="s">
        <v>86</v>
      </c>
      <c r="D36" s="203" t="str">
        <f>VLOOKUP(Table119[[#This Row],[Course]],'TSD-Data'!$A$1:$G$70,2,FALSE)</f>
        <v>A-493-3005</v>
      </c>
      <c r="E36" s="203" t="str">
        <f>VLOOKUP(Table119[[#This Row],[Course]],'TSD-Data'!$A$1:$G$70,3,FALSE)</f>
        <v>31V7</v>
      </c>
      <c r="F36" s="410">
        <v>0</v>
      </c>
      <c r="G36" s="203">
        <f>VLOOKUP(Table119[[#This Row],[Course]],'TSD-Data'!$A$1:$G$70,4,FALSE)</f>
        <v>100</v>
      </c>
      <c r="H36" s="275">
        <f>Table119[[#This Row],[FY26 FLT Quota Need]]/Table119[[#This Row],[FY26 Quota Per course]]</f>
        <v>0</v>
      </c>
      <c r="I36" s="258">
        <f>ROUNDUP(Table119[[#This Row],[FY26 Courses Needed]],0)</f>
        <v>0</v>
      </c>
      <c r="J36" s="410">
        <v>3</v>
      </c>
      <c r="K36" s="339">
        <f>VLOOKUP(Table119[[#This Row],[Course]],'TSD-Data'!$A$1:$G$70,6,FALSE)</f>
        <v>2</v>
      </c>
      <c r="L36" s="481">
        <f>Table119[[#This Row],[FY26 NSETC Course '# projections]]*Table119[[#This Row],[FY26 Hours Per Course]]</f>
        <v>6</v>
      </c>
      <c r="M36" s="481">
        <f>Table119[[#This Row],[FY26 NSETC Course '# projections]]-Table119[[#This Row],[FY26 Courses Needed Round UP]]</f>
        <v>3</v>
      </c>
      <c r="N36" s="341" t="str">
        <f t="shared" si="18"/>
        <v>N/A</v>
      </c>
      <c r="O36" s="259"/>
      <c r="P36" s="270">
        <v>3</v>
      </c>
      <c r="Q36" s="446">
        <v>100</v>
      </c>
      <c r="R36" s="36">
        <v>0</v>
      </c>
      <c r="S36" s="260">
        <v>0</v>
      </c>
      <c r="T36" s="260">
        <v>0</v>
      </c>
      <c r="U36" s="281">
        <f>(Table119[[#This Row],[FY25 Grads]]+Table119[[#This Row],[FY25 Fails]])/Table119[[#This Row],[FY25 Total Courses]]</f>
        <v>0</v>
      </c>
      <c r="V36" s="140">
        <v>0</v>
      </c>
      <c r="W36" s="276" t="str">
        <f t="shared" si="6"/>
        <v>N/A</v>
      </c>
      <c r="X36" s="447"/>
      <c r="Y36" s="266"/>
      <c r="Z36" s="448"/>
      <c r="AA36" s="457"/>
      <c r="AB36" s="458"/>
      <c r="AC36" s="459"/>
      <c r="AD36" s="460"/>
      <c r="AE36" s="461"/>
      <c r="AF36" s="462"/>
      <c r="AG36" s="463"/>
      <c r="AH36" s="456"/>
      <c r="AI36" s="464"/>
      <c r="AJ36" s="465"/>
      <c r="AK36" s="466"/>
      <c r="AL36" s="466"/>
      <c r="AM36" s="461"/>
      <c r="AN36" s="467"/>
      <c r="AO36" s="463"/>
      <c r="AP36" s="319"/>
      <c r="AQ36" s="457"/>
      <c r="AR36" s="460"/>
      <c r="AS36" s="460"/>
      <c r="AT36" s="460"/>
      <c r="AU36" s="468"/>
      <c r="AV36" s="469"/>
      <c r="AW36" s="463"/>
      <c r="AX36" s="274" t="s">
        <v>375</v>
      </c>
    </row>
    <row r="37" spans="1:50" ht="38.25" x14ac:dyDescent="0.25">
      <c r="A37" s="477" t="s">
        <v>372</v>
      </c>
      <c r="B37" s="203" t="str">
        <f>VLOOKUP(Table119[[#This Row],[Course]],'TSD-Data'!$A$1:$G$70,7,FALSE)</f>
        <v>N1</v>
      </c>
      <c r="C37" s="203" t="s">
        <v>86</v>
      </c>
      <c r="D37" s="203" t="str">
        <f>VLOOKUP(Table119[[#This Row],[Course]],'TSD-Data'!$A$1:$G$70,2,FALSE)</f>
        <v>A-493-3004</v>
      </c>
      <c r="E37" s="203" t="str">
        <f>VLOOKUP(Table119[[#This Row],[Course]],'TSD-Data'!$A$1:$G$70,3,FALSE)</f>
        <v>31V6</v>
      </c>
      <c r="F37" s="410">
        <v>0</v>
      </c>
      <c r="G37" s="203">
        <f>VLOOKUP(Table119[[#This Row],[Course]],'TSD-Data'!$A$1:$G$70,4,FALSE)</f>
        <v>100</v>
      </c>
      <c r="H37" s="275">
        <f>Table119[[#This Row],[FY26 FLT Quota Need]]/Table119[[#This Row],[FY26 Quota Per course]]</f>
        <v>0</v>
      </c>
      <c r="I37" s="258">
        <f>ROUNDUP(Table119[[#This Row],[FY26 Courses Needed]],0)</f>
        <v>0</v>
      </c>
      <c r="J37" s="410">
        <v>3</v>
      </c>
      <c r="K37" s="339">
        <f>VLOOKUP(Table119[[#This Row],[Course]],'TSD-Data'!$A$1:$G$70,6,FALSE)</f>
        <v>1.5</v>
      </c>
      <c r="L37" s="481">
        <f>Table119[[#This Row],[FY26 NSETC Course '# projections]]*Table119[[#This Row],[FY26 Hours Per Course]]</f>
        <v>4.5</v>
      </c>
      <c r="M37" s="481">
        <f>Table119[[#This Row],[FY26 NSETC Course '# projections]]-Table119[[#This Row],[FY26 Courses Needed Round UP]]</f>
        <v>3</v>
      </c>
      <c r="N37" s="341" t="str">
        <f t="shared" si="18"/>
        <v>N/A</v>
      </c>
      <c r="O37" s="259"/>
      <c r="P37" s="270">
        <v>4</v>
      </c>
      <c r="Q37" s="446">
        <v>100</v>
      </c>
      <c r="R37" s="36">
        <v>0</v>
      </c>
      <c r="S37" s="260">
        <v>0</v>
      </c>
      <c r="T37" s="260">
        <v>0</v>
      </c>
      <c r="U37" s="281">
        <f>(Table119[[#This Row],[FY25 Grads]]+Table119[[#This Row],[FY25 Fails]])/Table119[[#This Row],[FY25 Total Courses]]</f>
        <v>0</v>
      </c>
      <c r="V37" s="140">
        <v>0</v>
      </c>
      <c r="W37" s="276" t="str">
        <f t="shared" si="6"/>
        <v>N/A</v>
      </c>
      <c r="X37" s="447"/>
      <c r="Y37" s="266"/>
      <c r="Z37" s="448"/>
      <c r="AA37" s="457"/>
      <c r="AB37" s="458"/>
      <c r="AC37" s="459"/>
      <c r="AD37" s="460"/>
      <c r="AE37" s="461"/>
      <c r="AF37" s="462"/>
      <c r="AG37" s="463"/>
      <c r="AH37" s="456"/>
      <c r="AI37" s="464"/>
      <c r="AJ37" s="465"/>
      <c r="AK37" s="466"/>
      <c r="AL37" s="466"/>
      <c r="AM37" s="461"/>
      <c r="AN37" s="467"/>
      <c r="AO37" s="463"/>
      <c r="AP37" s="319"/>
      <c r="AQ37" s="457"/>
      <c r="AR37" s="460"/>
      <c r="AS37" s="460"/>
      <c r="AT37" s="460"/>
      <c r="AU37" s="468"/>
      <c r="AV37" s="469"/>
      <c r="AW37" s="463"/>
      <c r="AX37" s="274" t="s">
        <v>372</v>
      </c>
    </row>
    <row r="38" spans="1:50" ht="38.25" x14ac:dyDescent="0.25">
      <c r="A38" s="477" t="s">
        <v>395</v>
      </c>
      <c r="B38" s="203" t="str">
        <f>VLOOKUP(Table119[[#This Row],[Course]],'TSD-Data'!$A$1:$G$70,7,FALSE)</f>
        <v>N1</v>
      </c>
      <c r="C38" s="203" t="s">
        <v>86</v>
      </c>
      <c r="D38" s="203" t="str">
        <f>VLOOKUP(Table119[[#This Row],[Course]],'TSD-Data'!$A$1:$G$70,2,FALSE)</f>
        <v>A-493-3011</v>
      </c>
      <c r="E38" s="203" t="str">
        <f>VLOOKUP(Table119[[#This Row],[Course]],'TSD-Data'!$A$1:$G$70,3,FALSE)</f>
        <v>31VD</v>
      </c>
      <c r="F38" s="410">
        <v>0</v>
      </c>
      <c r="G38" s="203">
        <f>VLOOKUP(Table119[[#This Row],[Course]],'TSD-Data'!$A$1:$G$70,4,FALSE)</f>
        <v>100</v>
      </c>
      <c r="H38" s="275">
        <f>Table119[[#This Row],[FY26 FLT Quota Need]]/Table119[[#This Row],[FY26 Quota Per course]]</f>
        <v>0</v>
      </c>
      <c r="I38" s="258">
        <f>ROUNDUP(Table119[[#This Row],[FY26 Courses Needed]],0)</f>
        <v>0</v>
      </c>
      <c r="J38" s="410">
        <v>3</v>
      </c>
      <c r="K38" s="339">
        <f>VLOOKUP(Table119[[#This Row],[Course]],'TSD-Data'!$A$1:$G$70,6,FALSE)</f>
        <v>2.5</v>
      </c>
      <c r="L38" s="481">
        <f>Table119[[#This Row],[FY26 NSETC Course '# projections]]*Table119[[#This Row],[FY26 Hours Per Course]]</f>
        <v>7.5</v>
      </c>
      <c r="M38" s="481">
        <f>Table119[[#This Row],[FY26 NSETC Course '# projections]]-Table119[[#This Row],[FY26 Courses Needed Round UP]]</f>
        <v>3</v>
      </c>
      <c r="N38" s="341" t="str">
        <f t="shared" si="18"/>
        <v>N/A</v>
      </c>
      <c r="O38" s="259"/>
      <c r="P38" s="270">
        <v>4</v>
      </c>
      <c r="Q38" s="446">
        <v>100</v>
      </c>
      <c r="R38" s="36">
        <v>0</v>
      </c>
      <c r="S38" s="260">
        <v>0</v>
      </c>
      <c r="T38" s="260">
        <v>0</v>
      </c>
      <c r="U38" s="281">
        <f>(Table119[[#This Row],[FY25 Grads]]+Table119[[#This Row],[FY25 Fails]])/Table119[[#This Row],[FY25 Total Courses]]</f>
        <v>0</v>
      </c>
      <c r="V38" s="140">
        <v>0</v>
      </c>
      <c r="W38" s="276" t="str">
        <f t="shared" si="6"/>
        <v>N/A</v>
      </c>
      <c r="X38" s="447"/>
      <c r="Y38" s="266"/>
      <c r="Z38" s="448"/>
      <c r="AA38" s="457"/>
      <c r="AB38" s="458"/>
      <c r="AC38" s="459"/>
      <c r="AD38" s="460"/>
      <c r="AE38" s="461"/>
      <c r="AF38" s="462"/>
      <c r="AG38" s="463"/>
      <c r="AH38" s="456"/>
      <c r="AI38" s="464"/>
      <c r="AJ38" s="465"/>
      <c r="AK38" s="466"/>
      <c r="AL38" s="466"/>
      <c r="AM38" s="461"/>
      <c r="AN38" s="467"/>
      <c r="AO38" s="463"/>
      <c r="AP38" s="319"/>
      <c r="AQ38" s="457"/>
      <c r="AR38" s="460"/>
      <c r="AS38" s="460"/>
      <c r="AT38" s="460"/>
      <c r="AU38" s="468"/>
      <c r="AV38" s="469"/>
      <c r="AW38" s="463"/>
      <c r="AX38" s="274" t="s">
        <v>395</v>
      </c>
    </row>
    <row r="39" spans="1:50" ht="38.25" x14ac:dyDescent="0.25">
      <c r="A39" s="477" t="s">
        <v>391</v>
      </c>
      <c r="B39" s="203" t="str">
        <f>VLOOKUP(Table119[[#This Row],[Course]],'TSD-Data'!$A$1:$G$70,7,FALSE)</f>
        <v>N1</v>
      </c>
      <c r="C39" s="203" t="s">
        <v>86</v>
      </c>
      <c r="D39" s="203" t="str">
        <f>VLOOKUP(Table119[[#This Row],[Course]],'TSD-Data'!$A$1:$G$70,2,FALSE)</f>
        <v>A-493-3010</v>
      </c>
      <c r="E39" s="203" t="str">
        <f>VLOOKUP(Table119[[#This Row],[Course]],'TSD-Data'!$A$1:$G$70,3,FALSE)</f>
        <v>31VC</v>
      </c>
      <c r="F39" s="410">
        <v>0</v>
      </c>
      <c r="G39" s="203">
        <f>VLOOKUP(Table119[[#This Row],[Course]],'TSD-Data'!$A$1:$G$70,4,FALSE)</f>
        <v>100</v>
      </c>
      <c r="H39" s="275">
        <f>Table119[[#This Row],[FY26 FLT Quota Need]]/Table119[[#This Row],[FY26 Quota Per course]]</f>
        <v>0</v>
      </c>
      <c r="I39" s="258">
        <f>ROUNDUP(Table119[[#This Row],[FY26 Courses Needed]],0)</f>
        <v>0</v>
      </c>
      <c r="J39" s="410">
        <v>3</v>
      </c>
      <c r="K39" s="339">
        <f>VLOOKUP(Table119[[#This Row],[Course]],'TSD-Data'!$A$1:$G$70,6,FALSE)</f>
        <v>3.5</v>
      </c>
      <c r="L39" s="481">
        <f>Table119[[#This Row],[FY26 NSETC Course '# projections]]*Table119[[#This Row],[FY26 Hours Per Course]]</f>
        <v>10.5</v>
      </c>
      <c r="M39" s="481">
        <f>Table119[[#This Row],[FY26 NSETC Course '# projections]]-Table119[[#This Row],[FY26 Courses Needed Round UP]]</f>
        <v>3</v>
      </c>
      <c r="N39" s="341" t="str">
        <f t="shared" si="18"/>
        <v>N/A</v>
      </c>
      <c r="O39" s="259"/>
      <c r="P39" s="270">
        <v>4</v>
      </c>
      <c r="Q39" s="446">
        <v>100</v>
      </c>
      <c r="R39" s="36">
        <v>0</v>
      </c>
      <c r="S39" s="260">
        <v>0</v>
      </c>
      <c r="T39" s="260">
        <v>0</v>
      </c>
      <c r="U39" s="281">
        <f>(Table119[[#This Row],[FY25 Grads]]+Table119[[#This Row],[FY25 Fails]])/Table119[[#This Row],[FY25 Total Courses]]</f>
        <v>0</v>
      </c>
      <c r="V39" s="140">
        <v>0</v>
      </c>
      <c r="W39" s="276" t="str">
        <f t="shared" si="6"/>
        <v>N/A</v>
      </c>
      <c r="X39" s="447"/>
      <c r="Y39" s="266"/>
      <c r="Z39" s="448"/>
      <c r="AA39" s="457"/>
      <c r="AB39" s="458"/>
      <c r="AC39" s="459"/>
      <c r="AD39" s="460"/>
      <c r="AE39" s="461"/>
      <c r="AF39" s="462"/>
      <c r="AG39" s="463"/>
      <c r="AH39" s="456"/>
      <c r="AI39" s="464"/>
      <c r="AJ39" s="465"/>
      <c r="AK39" s="466"/>
      <c r="AL39" s="466"/>
      <c r="AM39" s="461"/>
      <c r="AN39" s="467"/>
      <c r="AO39" s="463"/>
      <c r="AP39" s="319"/>
      <c r="AQ39" s="457"/>
      <c r="AR39" s="460"/>
      <c r="AS39" s="460"/>
      <c r="AT39" s="460"/>
      <c r="AU39" s="468"/>
      <c r="AV39" s="469"/>
      <c r="AW39" s="463"/>
      <c r="AX39" s="274" t="s">
        <v>391</v>
      </c>
    </row>
    <row r="40" spans="1:50" ht="38.25" x14ac:dyDescent="0.25">
      <c r="A40" s="477" t="s">
        <v>365</v>
      </c>
      <c r="B40" s="203" t="str">
        <f>VLOOKUP(Table119[[#This Row],[Course]],'TSD-Data'!$A$1:$G$70,7,FALSE)</f>
        <v>N1</v>
      </c>
      <c r="C40" s="203" t="s">
        <v>86</v>
      </c>
      <c r="D40" s="203" t="str">
        <f>VLOOKUP(Table119[[#This Row],[Course]],'TSD-Data'!$A$1:$G$70,2,FALSE)</f>
        <v>A-493-3002</v>
      </c>
      <c r="E40" s="203" t="str">
        <f>VLOOKUP(Table119[[#This Row],[Course]],'TSD-Data'!$A$1:$G$70,3,FALSE)</f>
        <v>31V4</v>
      </c>
      <c r="F40" s="410">
        <v>0</v>
      </c>
      <c r="G40" s="203">
        <f>VLOOKUP(Table119[[#This Row],[Course]],'TSD-Data'!$A$1:$G$70,4,FALSE)</f>
        <v>100</v>
      </c>
      <c r="H40" s="275">
        <f>Table119[[#This Row],[FY26 FLT Quota Need]]/Table119[[#This Row],[FY26 Quota Per course]]</f>
        <v>0</v>
      </c>
      <c r="I40" s="258">
        <f>ROUNDUP(Table119[[#This Row],[FY26 Courses Needed]],0)</f>
        <v>0</v>
      </c>
      <c r="J40" s="410">
        <v>3</v>
      </c>
      <c r="K40" s="339">
        <f>VLOOKUP(Table119[[#This Row],[Course]],'TSD-Data'!$A$1:$G$70,6,FALSE)</f>
        <v>8</v>
      </c>
      <c r="L40" s="481">
        <f>Table119[[#This Row],[FY26 NSETC Course '# projections]]*Table119[[#This Row],[FY26 Hours Per Course]]</f>
        <v>24</v>
      </c>
      <c r="M40" s="481">
        <f>Table119[[#This Row],[FY26 NSETC Course '# projections]]-Table119[[#This Row],[FY26 Courses Needed Round UP]]</f>
        <v>3</v>
      </c>
      <c r="N40" s="341" t="str">
        <f t="shared" si="18"/>
        <v>N/A</v>
      </c>
      <c r="O40" s="259"/>
      <c r="P40" s="270">
        <v>4</v>
      </c>
      <c r="Q40" s="446">
        <v>100</v>
      </c>
      <c r="R40" s="36">
        <v>0</v>
      </c>
      <c r="S40" s="260">
        <v>0</v>
      </c>
      <c r="T40" s="260">
        <v>0</v>
      </c>
      <c r="U40" s="281">
        <f>(Table119[[#This Row],[FY25 Grads]]+Table119[[#This Row],[FY25 Fails]])/Table119[[#This Row],[FY25 Total Courses]]</f>
        <v>0</v>
      </c>
      <c r="V40" s="140">
        <v>0</v>
      </c>
      <c r="W40" s="276" t="str">
        <f t="shared" si="6"/>
        <v>N/A</v>
      </c>
      <c r="X40" s="447"/>
      <c r="Y40" s="266"/>
      <c r="Z40" s="448"/>
      <c r="AA40" s="457"/>
      <c r="AB40" s="458"/>
      <c r="AC40" s="459"/>
      <c r="AD40" s="460"/>
      <c r="AE40" s="461"/>
      <c r="AF40" s="462"/>
      <c r="AG40" s="463"/>
      <c r="AH40" s="456"/>
      <c r="AI40" s="464"/>
      <c r="AJ40" s="465"/>
      <c r="AK40" s="466"/>
      <c r="AL40" s="466"/>
      <c r="AM40" s="461"/>
      <c r="AN40" s="467"/>
      <c r="AO40" s="463"/>
      <c r="AP40" s="319"/>
      <c r="AQ40" s="457"/>
      <c r="AR40" s="460"/>
      <c r="AS40" s="460"/>
      <c r="AT40" s="460"/>
      <c r="AU40" s="468"/>
      <c r="AV40" s="469"/>
      <c r="AW40" s="463"/>
      <c r="AX40" s="274" t="s">
        <v>365</v>
      </c>
    </row>
    <row r="41" spans="1:50" ht="51" x14ac:dyDescent="0.25">
      <c r="A41" s="477" t="s">
        <v>369</v>
      </c>
      <c r="B41" s="203" t="str">
        <f>VLOOKUP(Table119[[#This Row],[Course]],'TSD-Data'!$A$1:$G$70,7,FALSE)</f>
        <v>N1</v>
      </c>
      <c r="C41" s="203" t="s">
        <v>86</v>
      </c>
      <c r="D41" s="203" t="str">
        <f>VLOOKUP(Table119[[#This Row],[Course]],'TSD-Data'!$A$1:$G$70,2,FALSE)</f>
        <v>A-493-3003</v>
      </c>
      <c r="E41" s="203" t="str">
        <f>VLOOKUP(Table119[[#This Row],[Course]],'TSD-Data'!$A$1:$G$70,3,FALSE)</f>
        <v>31V5</v>
      </c>
      <c r="F41" s="410">
        <v>0</v>
      </c>
      <c r="G41" s="203">
        <f>VLOOKUP(Table119[[#This Row],[Course]],'TSD-Data'!$A$1:$G$70,4,FALSE)</f>
        <v>100</v>
      </c>
      <c r="H41" s="275">
        <f>Table119[[#This Row],[FY26 FLT Quota Need]]/Table119[[#This Row],[FY26 Quota Per course]]</f>
        <v>0</v>
      </c>
      <c r="I41" s="258">
        <f>ROUNDUP(Table119[[#This Row],[FY26 Courses Needed]],0)</f>
        <v>0</v>
      </c>
      <c r="J41" s="410">
        <v>3</v>
      </c>
      <c r="K41" s="339">
        <f>VLOOKUP(Table119[[#This Row],[Course]],'TSD-Data'!$A$1:$G$70,6,FALSE)</f>
        <v>0.75</v>
      </c>
      <c r="L41" s="481">
        <f>Table119[[#This Row],[FY26 NSETC Course '# projections]]*Table119[[#This Row],[FY26 Hours Per Course]]</f>
        <v>2.25</v>
      </c>
      <c r="M41" s="481">
        <f>Table119[[#This Row],[FY26 NSETC Course '# projections]]-Table119[[#This Row],[FY26 Courses Needed Round UP]]</f>
        <v>3</v>
      </c>
      <c r="N41" s="341" t="str">
        <f t="shared" si="18"/>
        <v>N/A</v>
      </c>
      <c r="O41" s="259"/>
      <c r="P41" s="270">
        <v>4</v>
      </c>
      <c r="Q41" s="446">
        <v>100</v>
      </c>
      <c r="R41" s="36">
        <v>0</v>
      </c>
      <c r="S41" s="260">
        <v>0</v>
      </c>
      <c r="T41" s="260">
        <v>0</v>
      </c>
      <c r="U41" s="281">
        <f>(Table119[[#This Row],[FY25 Grads]]+Table119[[#This Row],[FY25 Fails]])/Table119[[#This Row],[FY25 Total Courses]]</f>
        <v>0</v>
      </c>
      <c r="V41" s="140">
        <v>0</v>
      </c>
      <c r="W41" s="276" t="str">
        <f t="shared" si="6"/>
        <v>N/A</v>
      </c>
      <c r="X41" s="447"/>
      <c r="Y41" s="266"/>
      <c r="Z41" s="448"/>
      <c r="AA41" s="457"/>
      <c r="AB41" s="458"/>
      <c r="AC41" s="459"/>
      <c r="AD41" s="460"/>
      <c r="AE41" s="461"/>
      <c r="AF41" s="462"/>
      <c r="AG41" s="463"/>
      <c r="AH41" s="456"/>
      <c r="AI41" s="464"/>
      <c r="AJ41" s="465"/>
      <c r="AK41" s="466"/>
      <c r="AL41" s="466"/>
      <c r="AM41" s="461"/>
      <c r="AN41" s="467"/>
      <c r="AO41" s="463"/>
      <c r="AP41" s="319"/>
      <c r="AQ41" s="457"/>
      <c r="AR41" s="460"/>
      <c r="AS41" s="460"/>
      <c r="AT41" s="460"/>
      <c r="AU41" s="468"/>
      <c r="AV41" s="469"/>
      <c r="AW41" s="463"/>
      <c r="AX41" s="274" t="s">
        <v>369</v>
      </c>
    </row>
    <row r="42" spans="1:50" ht="51" x14ac:dyDescent="0.25">
      <c r="A42" s="477" t="s">
        <v>384</v>
      </c>
      <c r="B42" s="203" t="str">
        <f>VLOOKUP(Table119[[#This Row],[Course]],'TSD-Data'!$A$1:$G$70,7,FALSE)</f>
        <v>N1</v>
      </c>
      <c r="C42" s="203" t="s">
        <v>86</v>
      </c>
      <c r="D42" s="203" t="str">
        <f>VLOOKUP(Table119[[#This Row],[Course]],'TSD-Data'!$A$1:$G$70,2,FALSE)</f>
        <v>A-493-3008</v>
      </c>
      <c r="E42" s="203" t="str">
        <f>VLOOKUP(Table119[[#This Row],[Course]],'TSD-Data'!$A$1:$G$70,3,FALSE)</f>
        <v>31VA</v>
      </c>
      <c r="F42" s="410">
        <v>0</v>
      </c>
      <c r="G42" s="203">
        <f>VLOOKUP(Table119[[#This Row],[Course]],'TSD-Data'!$A$1:$G$70,4,FALSE)</f>
        <v>100</v>
      </c>
      <c r="H42" s="275">
        <f>Table119[[#This Row],[FY26 FLT Quota Need]]/Table119[[#This Row],[FY26 Quota Per course]]</f>
        <v>0</v>
      </c>
      <c r="I42" s="258">
        <f>ROUNDUP(Table119[[#This Row],[FY26 Courses Needed]],0)</f>
        <v>0</v>
      </c>
      <c r="J42" s="410">
        <v>3</v>
      </c>
      <c r="K42" s="339">
        <f>VLOOKUP(Table119[[#This Row],[Course]],'TSD-Data'!$A$1:$G$70,6,FALSE)</f>
        <v>1</v>
      </c>
      <c r="L42" s="481">
        <f>Table119[[#This Row],[FY26 NSETC Course '# projections]]*Table119[[#This Row],[FY26 Hours Per Course]]</f>
        <v>3</v>
      </c>
      <c r="M42" s="481">
        <f>Table119[[#This Row],[FY26 NSETC Course '# projections]]-Table119[[#This Row],[FY26 Courses Needed Round UP]]</f>
        <v>3</v>
      </c>
      <c r="N42" s="341" t="str">
        <f t="shared" si="18"/>
        <v>N/A</v>
      </c>
      <c r="O42" s="259"/>
      <c r="P42" s="270">
        <v>4</v>
      </c>
      <c r="Q42" s="446">
        <v>100</v>
      </c>
      <c r="R42" s="36">
        <v>0</v>
      </c>
      <c r="S42" s="260">
        <v>0</v>
      </c>
      <c r="T42" s="260">
        <v>0</v>
      </c>
      <c r="U42" s="281">
        <f>(Table119[[#This Row],[FY25 Grads]]+Table119[[#This Row],[FY25 Fails]])/Table119[[#This Row],[FY25 Total Courses]]</f>
        <v>0</v>
      </c>
      <c r="V42" s="140">
        <v>0</v>
      </c>
      <c r="W42" s="276" t="str">
        <f t="shared" si="6"/>
        <v>N/A</v>
      </c>
      <c r="X42" s="447"/>
      <c r="Y42" s="266"/>
      <c r="Z42" s="448"/>
      <c r="AA42" s="457"/>
      <c r="AB42" s="458"/>
      <c r="AC42" s="459"/>
      <c r="AD42" s="460"/>
      <c r="AE42" s="461"/>
      <c r="AF42" s="462"/>
      <c r="AG42" s="463"/>
      <c r="AH42" s="456"/>
      <c r="AI42" s="464"/>
      <c r="AJ42" s="465"/>
      <c r="AK42" s="466"/>
      <c r="AL42" s="466"/>
      <c r="AM42" s="461"/>
      <c r="AN42" s="467"/>
      <c r="AO42" s="463"/>
      <c r="AP42" s="319"/>
      <c r="AQ42" s="457"/>
      <c r="AR42" s="460"/>
      <c r="AS42" s="460"/>
      <c r="AT42" s="460"/>
      <c r="AU42" s="468"/>
      <c r="AV42" s="469"/>
      <c r="AW42" s="463"/>
      <c r="AX42" s="274" t="s">
        <v>384</v>
      </c>
    </row>
    <row r="43" spans="1:50" ht="38.25" x14ac:dyDescent="0.25">
      <c r="A43" s="477" t="s">
        <v>361</v>
      </c>
      <c r="B43" s="203" t="str">
        <f>VLOOKUP(Table119[[#This Row],[Course]],'TSD-Data'!$A$1:$G$70,7,FALSE)</f>
        <v>N1</v>
      </c>
      <c r="C43" s="203" t="s">
        <v>86</v>
      </c>
      <c r="D43" s="203" t="str">
        <f>VLOOKUP(Table119[[#This Row],[Course]],'TSD-Data'!$A$1:$G$70,2,FALSE)</f>
        <v>A-493-3001</v>
      </c>
      <c r="E43" s="203" t="str">
        <f>VLOOKUP(Table119[[#This Row],[Course]],'TSD-Data'!$A$1:$G$70,3,FALSE)</f>
        <v>31V3</v>
      </c>
      <c r="F43" s="410">
        <v>0</v>
      </c>
      <c r="G43" s="203">
        <f>VLOOKUP(Table119[[#This Row],[Course]],'TSD-Data'!$A$1:$G$70,4,FALSE)</f>
        <v>100</v>
      </c>
      <c r="H43" s="275">
        <f>Table119[[#This Row],[FY26 FLT Quota Need]]/Table119[[#This Row],[FY26 Quota Per course]]</f>
        <v>0</v>
      </c>
      <c r="I43" s="258">
        <f>ROUNDUP(Table119[[#This Row],[FY26 Courses Needed]],0)</f>
        <v>0</v>
      </c>
      <c r="J43" s="410">
        <v>3</v>
      </c>
      <c r="K43" s="339">
        <f>VLOOKUP(Table119[[#This Row],[Course]],'TSD-Data'!$A$1:$G$70,6,FALSE)</f>
        <v>2</v>
      </c>
      <c r="L43" s="481">
        <f>Table119[[#This Row],[FY26 NSETC Course '# projections]]*Table119[[#This Row],[FY26 Hours Per Course]]</f>
        <v>6</v>
      </c>
      <c r="M43" s="481">
        <f>Table119[[#This Row],[FY26 NSETC Course '# projections]]-Table119[[#This Row],[FY26 Courses Needed Round UP]]</f>
        <v>3</v>
      </c>
      <c r="N43" s="341" t="str">
        <f t="shared" si="18"/>
        <v>N/A</v>
      </c>
      <c r="O43" s="259"/>
      <c r="P43" s="270">
        <v>3</v>
      </c>
      <c r="Q43" s="446">
        <v>100</v>
      </c>
      <c r="R43" s="36">
        <v>0</v>
      </c>
      <c r="S43" s="260">
        <v>0</v>
      </c>
      <c r="T43" s="260">
        <v>0</v>
      </c>
      <c r="U43" s="281">
        <f>(Table119[[#This Row],[FY25 Grads]]+Table119[[#This Row],[FY25 Fails]])/Table119[[#This Row],[FY25 Total Courses]]</f>
        <v>0</v>
      </c>
      <c r="V43" s="140">
        <v>0</v>
      </c>
      <c r="W43" s="276" t="str">
        <f t="shared" si="6"/>
        <v>N/A</v>
      </c>
      <c r="X43" s="447"/>
      <c r="Y43" s="266"/>
      <c r="Z43" s="448"/>
      <c r="AA43" s="457"/>
      <c r="AB43" s="458"/>
      <c r="AC43" s="459"/>
      <c r="AD43" s="460"/>
      <c r="AE43" s="461"/>
      <c r="AF43" s="462"/>
      <c r="AG43" s="463"/>
      <c r="AH43" s="456"/>
      <c r="AI43" s="464"/>
      <c r="AJ43" s="465"/>
      <c r="AK43" s="466"/>
      <c r="AL43" s="466"/>
      <c r="AM43" s="461"/>
      <c r="AN43" s="467"/>
      <c r="AO43" s="463"/>
      <c r="AP43" s="319"/>
      <c r="AQ43" s="457"/>
      <c r="AR43" s="460"/>
      <c r="AS43" s="460"/>
      <c r="AT43" s="460"/>
      <c r="AU43" s="468"/>
      <c r="AV43" s="469"/>
      <c r="AW43" s="463"/>
      <c r="AX43" s="274" t="s">
        <v>361</v>
      </c>
    </row>
    <row r="44" spans="1:50" ht="38.25" x14ac:dyDescent="0.25">
      <c r="A44" s="477" t="s">
        <v>378</v>
      </c>
      <c r="B44" s="203" t="str">
        <f>VLOOKUP(Table119[[#This Row],[Course]],'TSD-Data'!$A$1:$G$70,7,FALSE)</f>
        <v>N1</v>
      </c>
      <c r="C44" s="203" t="s">
        <v>86</v>
      </c>
      <c r="D44" s="203" t="str">
        <f>VLOOKUP(Table119[[#This Row],[Course]],'TSD-Data'!$A$1:$G$70,2,FALSE)</f>
        <v>A-493-3006</v>
      </c>
      <c r="E44" s="203" t="str">
        <f>VLOOKUP(Table119[[#This Row],[Course]],'TSD-Data'!$A$1:$G$70,3,FALSE)</f>
        <v>31V8</v>
      </c>
      <c r="F44" s="410">
        <v>0</v>
      </c>
      <c r="G44" s="203">
        <f>VLOOKUP(Table119[[#This Row],[Course]],'TSD-Data'!$A$1:$G$70,4,FALSE)</f>
        <v>100</v>
      </c>
      <c r="H44" s="275">
        <f>Table119[[#This Row],[FY26 FLT Quota Need]]/Table119[[#This Row],[FY26 Quota Per course]]</f>
        <v>0</v>
      </c>
      <c r="I44" s="258">
        <f>ROUNDUP(Table119[[#This Row],[FY26 Courses Needed]],0)</f>
        <v>0</v>
      </c>
      <c r="J44" s="452">
        <v>0</v>
      </c>
      <c r="K44" s="339">
        <f>VLOOKUP(Table119[[#This Row],[Course]],'TSD-Data'!$A$1:$G$70,6,FALSE)</f>
        <v>0.75</v>
      </c>
      <c r="L44" s="481">
        <f>Table119[[#This Row],[FY26 NSETC Course '# projections]]*Table119[[#This Row],[FY26 Hours Per Course]]</f>
        <v>0</v>
      </c>
      <c r="M44" s="481">
        <f>Table119[[#This Row],[FY26 NSETC Course '# projections]]-Table119[[#This Row],[FY26 Courses Needed Round UP]]</f>
        <v>0</v>
      </c>
      <c r="N44" s="341" t="str">
        <f t="shared" si="18"/>
        <v>N/A</v>
      </c>
      <c r="O44" s="259"/>
      <c r="P44" s="270">
        <v>3</v>
      </c>
      <c r="Q44" s="446">
        <v>100</v>
      </c>
      <c r="R44" s="36">
        <v>0</v>
      </c>
      <c r="S44" s="260">
        <v>0</v>
      </c>
      <c r="T44" s="260">
        <v>0</v>
      </c>
      <c r="U44" s="281">
        <f>(Table119[[#This Row],[FY25 Grads]]+Table119[[#This Row],[FY25 Fails]])/Table119[[#This Row],[FY25 Total Courses]]</f>
        <v>0</v>
      </c>
      <c r="V44" s="140">
        <v>0</v>
      </c>
      <c r="W44" s="276" t="str">
        <f t="shared" si="6"/>
        <v>N/A</v>
      </c>
      <c r="X44" s="447"/>
      <c r="Y44" s="266"/>
      <c r="Z44" s="448"/>
      <c r="AA44" s="457"/>
      <c r="AB44" s="458"/>
      <c r="AC44" s="459"/>
      <c r="AD44" s="460"/>
      <c r="AE44" s="461"/>
      <c r="AF44" s="462"/>
      <c r="AG44" s="463"/>
      <c r="AH44" s="456"/>
      <c r="AI44" s="464"/>
      <c r="AJ44" s="465"/>
      <c r="AK44" s="466"/>
      <c r="AL44" s="466"/>
      <c r="AM44" s="461"/>
      <c r="AN44" s="467"/>
      <c r="AO44" s="463"/>
      <c r="AP44" s="319"/>
      <c r="AQ44" s="457"/>
      <c r="AR44" s="460"/>
      <c r="AS44" s="460"/>
      <c r="AT44" s="460"/>
      <c r="AU44" s="468"/>
      <c r="AV44" s="469"/>
      <c r="AW44" s="463"/>
      <c r="AX44" s="274" t="s">
        <v>378</v>
      </c>
    </row>
    <row r="45" spans="1:50" ht="26.25" x14ac:dyDescent="0.25">
      <c r="A45" s="477" t="s">
        <v>388</v>
      </c>
      <c r="B45" s="203" t="str">
        <f>VLOOKUP(Table119[[#This Row],[Course]],'TSD-Data'!$A$1:$G$70,7,FALSE)</f>
        <v>N1</v>
      </c>
      <c r="C45" s="203" t="s">
        <v>86</v>
      </c>
      <c r="D45" s="203" t="str">
        <f>VLOOKUP(Table119[[#This Row],[Course]],'TSD-Data'!$A$1:$G$70,2,FALSE)</f>
        <v>A-493-3009</v>
      </c>
      <c r="E45" s="203" t="str">
        <f>VLOOKUP(Table119[[#This Row],[Course]],'TSD-Data'!$A$1:$G$70,3,FALSE)</f>
        <v>31VB</v>
      </c>
      <c r="F45" s="410">
        <v>0</v>
      </c>
      <c r="G45" s="203">
        <f>VLOOKUP(Table119[[#This Row],[Course]],'TSD-Data'!$A$1:$G$70,4,FALSE)</f>
        <v>100</v>
      </c>
      <c r="H45" s="275">
        <f>Table119[[#This Row],[FY26 FLT Quota Need]]/Table119[[#This Row],[FY26 Quota Per course]]</f>
        <v>0</v>
      </c>
      <c r="I45" s="258">
        <f>ROUNDUP(Table119[[#This Row],[FY26 Courses Needed]],0)</f>
        <v>0</v>
      </c>
      <c r="J45" s="410">
        <v>3</v>
      </c>
      <c r="K45" s="339">
        <f>VLOOKUP(Table119[[#This Row],[Course]],'TSD-Data'!$A$1:$G$70,6,FALSE)</f>
        <v>1</v>
      </c>
      <c r="L45" s="481">
        <f>Table119[[#This Row],[FY26 NSETC Course '# projections]]*Table119[[#This Row],[FY26 Hours Per Course]]</f>
        <v>3</v>
      </c>
      <c r="M45" s="481">
        <f>Table119[[#This Row],[FY26 NSETC Course '# projections]]-Table119[[#This Row],[FY26 Courses Needed Round UP]]</f>
        <v>3</v>
      </c>
      <c r="N45" s="341" t="str">
        <f t="shared" si="18"/>
        <v>N/A</v>
      </c>
      <c r="O45" s="259"/>
      <c r="P45" s="270">
        <v>4</v>
      </c>
      <c r="Q45" s="446">
        <v>100</v>
      </c>
      <c r="R45" s="36">
        <v>0</v>
      </c>
      <c r="S45" s="260">
        <v>0</v>
      </c>
      <c r="T45" s="260">
        <v>0</v>
      </c>
      <c r="U45" s="281">
        <f>(Table119[[#This Row],[FY25 Grads]]+Table119[[#This Row],[FY25 Fails]])/Table119[[#This Row],[FY25 Total Courses]]</f>
        <v>0</v>
      </c>
      <c r="V45" s="140">
        <v>0</v>
      </c>
      <c r="W45" s="276" t="str">
        <f t="shared" si="6"/>
        <v>N/A</v>
      </c>
      <c r="X45" s="447"/>
      <c r="Y45" s="266"/>
      <c r="Z45" s="448"/>
      <c r="AA45" s="457"/>
      <c r="AB45" s="458"/>
      <c r="AC45" s="459"/>
      <c r="AD45" s="460"/>
      <c r="AE45" s="461"/>
      <c r="AF45" s="462"/>
      <c r="AG45" s="463"/>
      <c r="AH45" s="456"/>
      <c r="AI45" s="464"/>
      <c r="AJ45" s="465"/>
      <c r="AK45" s="466"/>
      <c r="AL45" s="466"/>
      <c r="AM45" s="461"/>
      <c r="AN45" s="467"/>
      <c r="AO45" s="463"/>
      <c r="AP45" s="319"/>
      <c r="AQ45" s="457"/>
      <c r="AR45" s="460"/>
      <c r="AS45" s="460"/>
      <c r="AT45" s="460"/>
      <c r="AU45" s="468"/>
      <c r="AV45" s="469"/>
      <c r="AW45" s="463"/>
      <c r="AX45" s="274" t="s">
        <v>388</v>
      </c>
    </row>
    <row r="46" spans="1:50" ht="38.25" x14ac:dyDescent="0.25">
      <c r="A46" s="477" t="s">
        <v>381</v>
      </c>
      <c r="B46" s="203" t="str">
        <f>VLOOKUP(Table119[[#This Row],[Course]],'TSD-Data'!$A$1:$G$70,7,FALSE)</f>
        <v>N1</v>
      </c>
      <c r="C46" s="203" t="s">
        <v>86</v>
      </c>
      <c r="D46" s="203" t="str">
        <f>VLOOKUP(Table119[[#This Row],[Course]],'TSD-Data'!$A$1:$G$70,2,FALSE)</f>
        <v>A-493-3007</v>
      </c>
      <c r="E46" s="203" t="str">
        <f>VLOOKUP(Table119[[#This Row],[Course]],'TSD-Data'!$A$1:$G$70,3,FALSE)</f>
        <v>31V9</v>
      </c>
      <c r="F46" s="410">
        <v>0</v>
      </c>
      <c r="G46" s="203">
        <f>VLOOKUP(Table119[[#This Row],[Course]],'TSD-Data'!$A$1:$G$70,4,FALSE)</f>
        <v>100</v>
      </c>
      <c r="H46" s="275">
        <f>Table119[[#This Row],[FY26 FLT Quota Need]]/Table119[[#This Row],[FY26 Quota Per course]]</f>
        <v>0</v>
      </c>
      <c r="I46" s="258">
        <f>ROUNDUP(Table119[[#This Row],[FY26 Courses Needed]],0)</f>
        <v>0</v>
      </c>
      <c r="J46" s="452">
        <v>0</v>
      </c>
      <c r="K46" s="339">
        <f>VLOOKUP(Table119[[#This Row],[Course]],'TSD-Data'!$A$1:$G$70,6,FALSE)</f>
        <v>0.75</v>
      </c>
      <c r="L46" s="481">
        <f>Table119[[#This Row],[FY26 NSETC Course '# projections]]*Table119[[#This Row],[FY26 Hours Per Course]]</f>
        <v>0</v>
      </c>
      <c r="M46" s="481">
        <f>Table119[[#This Row],[FY26 NSETC Course '# projections]]-Table119[[#This Row],[FY26 Courses Needed Round UP]]</f>
        <v>0</v>
      </c>
      <c r="N46" s="341" t="str">
        <f t="shared" si="18"/>
        <v>N/A</v>
      </c>
      <c r="O46" s="259"/>
      <c r="P46" s="270">
        <v>3</v>
      </c>
      <c r="Q46" s="446">
        <v>100</v>
      </c>
      <c r="R46" s="36">
        <v>0</v>
      </c>
      <c r="S46" s="260">
        <v>0</v>
      </c>
      <c r="T46" s="260">
        <v>0</v>
      </c>
      <c r="U46" s="281">
        <f>(Table119[[#This Row],[FY25 Grads]]+Table119[[#This Row],[FY25 Fails]])/Table119[[#This Row],[FY25 Total Courses]]</f>
        <v>0</v>
      </c>
      <c r="V46" s="140">
        <v>0</v>
      </c>
      <c r="W46" s="276" t="str">
        <f t="shared" si="6"/>
        <v>N/A</v>
      </c>
      <c r="X46" s="447"/>
      <c r="Y46" s="266"/>
      <c r="Z46" s="448"/>
      <c r="AA46" s="457"/>
      <c r="AB46" s="458"/>
      <c r="AC46" s="459"/>
      <c r="AD46" s="460"/>
      <c r="AE46" s="461"/>
      <c r="AF46" s="462"/>
      <c r="AG46" s="463"/>
      <c r="AH46" s="456"/>
      <c r="AI46" s="464"/>
      <c r="AJ46" s="465"/>
      <c r="AK46" s="466"/>
      <c r="AL46" s="466"/>
      <c r="AM46" s="461"/>
      <c r="AN46" s="467"/>
      <c r="AO46" s="463"/>
      <c r="AP46" s="319"/>
      <c r="AQ46" s="457"/>
      <c r="AR46" s="460"/>
      <c r="AS46" s="460"/>
      <c r="AT46" s="460"/>
      <c r="AU46" s="468"/>
      <c r="AV46" s="469"/>
      <c r="AW46" s="463"/>
      <c r="AX46" s="274" t="s">
        <v>381</v>
      </c>
    </row>
    <row r="47" spans="1:50" ht="26.25" x14ac:dyDescent="0.25">
      <c r="A47" s="477" t="s">
        <v>329</v>
      </c>
      <c r="B47" s="203" t="str">
        <f>VLOOKUP(Table119[[#This Row],[Course]],'TSD-Data'!$A$1:$G$70,7,FALSE)</f>
        <v>N1</v>
      </c>
      <c r="C47" s="203" t="s">
        <v>86</v>
      </c>
      <c r="D47" s="203" t="str">
        <f>VLOOKUP(Table119[[#This Row],[Course]],'TSD-Data'!$A$1:$G$70,2,FALSE)</f>
        <v>A-4J-0019</v>
      </c>
      <c r="E47" s="203" t="str">
        <f>VLOOKUP(Table119[[#This Row],[Course]],'TSD-Data'!$A$1:$G$70,3,FALSE)</f>
        <v>28SL/285M</v>
      </c>
      <c r="F47" s="69">
        <v>704</v>
      </c>
      <c r="G47" s="203">
        <f>VLOOKUP(Table119[[#This Row],[Course]],'TSD-Data'!$A$1:$G$70,4,FALSE)</f>
        <v>20</v>
      </c>
      <c r="H47" s="275">
        <f>Table119[[#This Row],[FY26 FLT Quota Need]]/Table119[[#This Row],[FY26 Quota Per course]]</f>
        <v>35.200000000000003</v>
      </c>
      <c r="I47" s="258">
        <f>ROUNDUP(Table119[[#This Row],[FY26 Courses Needed]],0)</f>
        <v>36</v>
      </c>
      <c r="J47" s="410">
        <v>4</v>
      </c>
      <c r="K47" s="339">
        <f>VLOOKUP(Table119[[#This Row],[Course]],'TSD-Data'!$A$1:$G$70,6,FALSE)</f>
        <v>40</v>
      </c>
      <c r="L47" s="204">
        <f>Table119[[#This Row],[FY26 NSETC Course '# projections]]*Table119[[#This Row],[FY26 Hours Per Course]]</f>
        <v>160</v>
      </c>
      <c r="M47" s="340">
        <f>Table119[[#This Row],[FY26 NSETC Course '# projections]]-Table119[[#This Row],[FY26 Courses Needed Round UP]]</f>
        <v>-32</v>
      </c>
      <c r="N47" s="341">
        <f t="shared" si="18"/>
        <v>0.11363636363636363</v>
      </c>
      <c r="O47" s="259"/>
      <c r="P47" s="270">
        <v>4</v>
      </c>
      <c r="Q47" s="280">
        <v>25</v>
      </c>
      <c r="R47" s="36">
        <v>36</v>
      </c>
      <c r="S47" s="260">
        <v>0</v>
      </c>
      <c r="T47" s="260">
        <v>0</v>
      </c>
      <c r="U47" s="281">
        <f>(Table119[[#This Row],[FY25 Grads]]+Table119[[#This Row],[FY25 Fails]])/Table119[[#This Row],[FY25 Total Courses]]</f>
        <v>9</v>
      </c>
      <c r="V47" s="140">
        <v>711</v>
      </c>
      <c r="W47" s="276">
        <f t="shared" si="6"/>
        <v>5.0632911392405063E-2</v>
      </c>
      <c r="X47" s="265"/>
      <c r="Y47" s="266"/>
      <c r="Z47" s="267"/>
      <c r="AA47" s="295">
        <v>3</v>
      </c>
      <c r="AB47" s="297">
        <v>20</v>
      </c>
      <c r="AC47" s="299">
        <v>58</v>
      </c>
      <c r="AD47" s="292">
        <v>0</v>
      </c>
      <c r="AE47" s="301">
        <f t="shared" si="13"/>
        <v>19.333333333333332</v>
      </c>
      <c r="AF47" s="303"/>
      <c r="AG47" s="302"/>
      <c r="AH47" s="268"/>
      <c r="AI47" s="464"/>
      <c r="AJ47" s="465"/>
      <c r="AK47" s="466"/>
      <c r="AL47" s="466"/>
      <c r="AM47" s="461"/>
      <c r="AN47" s="467"/>
      <c r="AO47" s="463"/>
      <c r="AP47" s="319"/>
      <c r="AQ47" s="457"/>
      <c r="AR47" s="460"/>
      <c r="AS47" s="460"/>
      <c r="AT47" s="460"/>
      <c r="AU47" s="468"/>
      <c r="AV47" s="469"/>
      <c r="AW47" s="463"/>
      <c r="AX47" s="246" t="s">
        <v>329</v>
      </c>
    </row>
    <row r="48" spans="1:50" ht="31.5" x14ac:dyDescent="0.25">
      <c r="A48" s="480" t="s">
        <v>40</v>
      </c>
      <c r="B48" s="203" t="str">
        <f>VLOOKUP(Table119[[#This Row],[Course]],'TSD-Data'!$A$1:$G$70,7,FALSE)</f>
        <v>N1</v>
      </c>
      <c r="C48" s="203" t="s">
        <v>86</v>
      </c>
      <c r="D48" s="203" t="str">
        <f>VLOOKUP(Table119[[#This Row],[Course]],'TSD-Data'!$A$1:$G$70,2,FALSE)</f>
        <v>A-493-2098</v>
      </c>
      <c r="E48" s="203" t="str">
        <f>VLOOKUP(Table119[[#This Row],[Course]],'TSD-Data'!$A$1:$G$70,3,FALSE)</f>
        <v>09WW</v>
      </c>
      <c r="F48" s="203">
        <v>2261</v>
      </c>
      <c r="G48" s="203">
        <f>VLOOKUP(Table119[[#This Row],[Course]],'TSD-Data'!$A$1:$G$70,4,FALSE)</f>
        <v>100</v>
      </c>
      <c r="H48" s="275">
        <f>Table119[[#This Row],[FY26 FLT Quota Need]]/Table119[[#This Row],[FY26 Quota Per course]]</f>
        <v>22.61</v>
      </c>
      <c r="I48" s="258">
        <f>ROUNDUP(Table119[[#This Row],[FY26 Courses Needed]],0)</f>
        <v>23</v>
      </c>
      <c r="J48" s="410">
        <v>19</v>
      </c>
      <c r="K48" s="339">
        <f>VLOOKUP(Table119[[#This Row],[Course]],'TSD-Data'!$A$1:$G$70,6,FALSE)</f>
        <v>16</v>
      </c>
      <c r="L48" s="204">
        <f>Table119[[#This Row],[FY26 NSETC Course '# projections]]*Table119[[#This Row],[FY26 Hours Per Course]]</f>
        <v>304</v>
      </c>
      <c r="M48" s="340">
        <f>Table119[[#This Row],[FY26 NSETC Course '# projections]]-Table119[[#This Row],[FY26 Courses Needed Round UP]]</f>
        <v>-4</v>
      </c>
      <c r="N48" s="341">
        <f t="shared" si="18"/>
        <v>0.84033613445378152</v>
      </c>
      <c r="O48" s="259"/>
      <c r="P48" s="270">
        <v>19</v>
      </c>
      <c r="Q48" s="280">
        <v>100</v>
      </c>
      <c r="R48" s="36">
        <v>947</v>
      </c>
      <c r="S48" s="260">
        <v>52</v>
      </c>
      <c r="T48" s="260">
        <v>238</v>
      </c>
      <c r="U48" s="281">
        <f>(Table119[[#This Row],[FY25 Grads]]+Table119[[#This Row],[FY25 Fails]])/Table119[[#This Row],[FY25 Total Courses]]</f>
        <v>52.578947368421055</v>
      </c>
      <c r="V48" s="140">
        <v>1601</v>
      </c>
      <c r="W48" s="276">
        <f t="shared" si="6"/>
        <v>0.62398500936914425</v>
      </c>
      <c r="X48" s="265">
        <v>2718</v>
      </c>
      <c r="Y48" s="266">
        <v>28</v>
      </c>
      <c r="Z48" s="267"/>
      <c r="AA48" s="295">
        <v>17</v>
      </c>
      <c r="AB48" s="297">
        <v>100</v>
      </c>
      <c r="AC48" s="299">
        <v>1335</v>
      </c>
      <c r="AD48" s="292">
        <v>37</v>
      </c>
      <c r="AE48" s="301">
        <f t="shared" si="13"/>
        <v>80.705882352941174</v>
      </c>
      <c r="AF48" s="34">
        <v>1499</v>
      </c>
      <c r="AG48" s="302">
        <f>SUM(AC48+AD48)/AF48</f>
        <v>0.91527685123415614</v>
      </c>
      <c r="AH48" s="268"/>
      <c r="AI48" s="318">
        <v>24</v>
      </c>
      <c r="AJ48" s="313">
        <v>100</v>
      </c>
      <c r="AK48" s="260">
        <v>1538</v>
      </c>
      <c r="AL48" s="260">
        <v>88</v>
      </c>
      <c r="AM48" s="304">
        <f>AVERAGE(AK48+AL48)/AI48</f>
        <v>67.75</v>
      </c>
      <c r="AN48" s="37">
        <v>1665</v>
      </c>
      <c r="AO48" s="302">
        <f>SUM(AK48+AL48)/AN48</f>
        <v>0.97657657657657659</v>
      </c>
      <c r="AP48" s="319"/>
      <c r="AQ48" s="295">
        <v>21</v>
      </c>
      <c r="AR48" s="287">
        <v>100</v>
      </c>
      <c r="AS48" s="307">
        <v>1584</v>
      </c>
      <c r="AT48" s="307">
        <v>89</v>
      </c>
      <c r="AU48" s="311">
        <f>(Table119[[#This Row],[FY22 Grads]]+Table119[[#This Row],[FY22 Fails]])/Table119[[#This Row],[FY22 Total Courses]]</f>
        <v>79.666666666666671</v>
      </c>
      <c r="AV48" s="308">
        <v>604</v>
      </c>
      <c r="AW48" s="309">
        <f>SUM(AS48+AT48)/AV48</f>
        <v>2.7698675496688741</v>
      </c>
      <c r="AX48" s="246" t="s">
        <v>630</v>
      </c>
    </row>
    <row r="49" spans="1:50" ht="31.5" x14ac:dyDescent="0.25">
      <c r="A49" s="480" t="s">
        <v>54</v>
      </c>
      <c r="B49" s="203" t="str">
        <f>VLOOKUP(Table119[[#This Row],[Course]],'TSD-Data'!$A$1:$G$70,7,FALSE)</f>
        <v>N1</v>
      </c>
      <c r="C49" s="203" t="s">
        <v>86</v>
      </c>
      <c r="D49" s="203" t="str">
        <f>VLOOKUP(Table119[[#This Row],[Course]],'TSD-Data'!$A$1:$G$70,2,FALSE)</f>
        <v>F-4J-0023</v>
      </c>
      <c r="E49" s="203" t="str">
        <f>VLOOKUP(Table119[[#This Row],[Course]],'TSD-Data'!$A$1:$G$70,3,FALSE)</f>
        <v>11A2</v>
      </c>
      <c r="F49" s="203">
        <v>120</v>
      </c>
      <c r="G49" s="203">
        <f>VLOOKUP(Table119[[#This Row],[Course]],'TSD-Data'!$A$1:$G$70,4,FALSE)</f>
        <v>45</v>
      </c>
      <c r="H49" s="275">
        <f>Table119[[#This Row],[FY26 FLT Quota Need]]/Table119[[#This Row],[FY26 Quota Per course]]</f>
        <v>2.6666666666666665</v>
      </c>
      <c r="I49" s="258">
        <f>ROUNDUP(Table119[[#This Row],[FY26 Courses Needed]],0)</f>
        <v>3</v>
      </c>
      <c r="J49" s="410">
        <v>5</v>
      </c>
      <c r="K49" s="339">
        <f>VLOOKUP(Table119[[#This Row],[Course]],'TSD-Data'!$A$1:$G$70,6,FALSE)</f>
        <v>16</v>
      </c>
      <c r="L49" s="204">
        <f>Table119[[#This Row],[FY26 NSETC Course '# projections]]*Table119[[#This Row],[FY26 Hours Per Course]]</f>
        <v>80</v>
      </c>
      <c r="M49" s="204">
        <f>Table119[[#This Row],[FY26 NSETC Course '# projections]]-Table119[[#This Row],[FY26 Courses Needed Round UP]]</f>
        <v>2</v>
      </c>
      <c r="N49" s="341">
        <f t="shared" si="18"/>
        <v>1.875</v>
      </c>
      <c r="O49" s="259"/>
      <c r="P49" s="270">
        <v>4</v>
      </c>
      <c r="Q49" s="280">
        <v>25</v>
      </c>
      <c r="R49" s="36">
        <v>42</v>
      </c>
      <c r="S49" s="260">
        <v>0</v>
      </c>
      <c r="T49" s="260">
        <v>11</v>
      </c>
      <c r="U49" s="281">
        <f>(Table119[[#This Row],[FY25 Grads]]+Table119[[#This Row],[FY25 Fails]])/Table119[[#This Row],[FY25 Total Courses]]</f>
        <v>10.5</v>
      </c>
      <c r="V49" s="140">
        <v>92</v>
      </c>
      <c r="W49" s="276">
        <f t="shared" si="6"/>
        <v>0.45652173913043476</v>
      </c>
      <c r="X49" s="265">
        <v>61</v>
      </c>
      <c r="Y49" s="266">
        <v>3</v>
      </c>
      <c r="Z49" s="267"/>
      <c r="AA49" s="295">
        <v>4</v>
      </c>
      <c r="AB49" s="297">
        <v>25</v>
      </c>
      <c r="AC49" s="292">
        <v>39</v>
      </c>
      <c r="AD49" s="292">
        <v>1</v>
      </c>
      <c r="AE49" s="301">
        <f t="shared" si="13"/>
        <v>10</v>
      </c>
      <c r="AF49" s="34">
        <v>58</v>
      </c>
      <c r="AG49" s="302">
        <f>SUM(AC49+AD49)/AF49</f>
        <v>0.68965517241379315</v>
      </c>
      <c r="AH49" s="268"/>
      <c r="AI49" s="318">
        <v>4</v>
      </c>
      <c r="AJ49" s="313">
        <v>25</v>
      </c>
      <c r="AK49" s="260">
        <v>54</v>
      </c>
      <c r="AL49" s="260">
        <v>2</v>
      </c>
      <c r="AM49" s="304">
        <f>AVERAGE(AK49+AL49)/AI49</f>
        <v>14</v>
      </c>
      <c r="AN49" s="37">
        <v>86</v>
      </c>
      <c r="AO49" s="302">
        <f>SUM(AK49+AL49)/AN49</f>
        <v>0.65116279069767447</v>
      </c>
      <c r="AP49" s="319"/>
      <c r="AQ49" s="295">
        <v>5</v>
      </c>
      <c r="AR49" s="287">
        <v>30</v>
      </c>
      <c r="AS49" s="307">
        <v>32</v>
      </c>
      <c r="AT49" s="307">
        <v>0</v>
      </c>
      <c r="AU49" s="311">
        <f>(Table119[[#This Row],[FY22 Grads]]+Table119[[#This Row],[FY22 Fails]])/Table119[[#This Row],[FY22 Total Courses]]</f>
        <v>6.4</v>
      </c>
      <c r="AV49" s="308">
        <v>19</v>
      </c>
      <c r="AW49" s="309">
        <f>SUM(AS49+AT49)/AV49</f>
        <v>1.6842105263157894</v>
      </c>
      <c r="AX49" s="246" t="s">
        <v>631</v>
      </c>
    </row>
    <row r="50" spans="1:50" ht="15.75" x14ac:dyDescent="0.25">
      <c r="A50" s="474" t="s">
        <v>36</v>
      </c>
      <c r="B50" s="203" t="str">
        <f>VLOOKUP(Table119[[#This Row],[Course]],'TSD-Data'!$A$1:$G$70,7,FALSE)</f>
        <v>N4</v>
      </c>
      <c r="C50" s="479" t="s">
        <v>7</v>
      </c>
      <c r="D50" s="203" t="str">
        <f>VLOOKUP(Table119[[#This Row],[Course]],'TSD-Data'!$A$1:$G$70,2,FALSE)</f>
        <v>A-493-2017</v>
      </c>
      <c r="E50" s="203" t="str">
        <f>VLOOKUP(Table119[[#This Row],[Course]],'TSD-Data'!$A$1:$G$70,3,FALSE)</f>
        <v>12x3</v>
      </c>
      <c r="F50" s="203">
        <v>610</v>
      </c>
      <c r="G50" s="203">
        <f>VLOOKUP(Table119[[#This Row],[Course]],'TSD-Data'!$A$1:$G$70,4,FALSE)</f>
        <v>25</v>
      </c>
      <c r="H50" s="275">
        <f>Table119[[#This Row],[FY26 FLT Quota Need]]/Table119[[#This Row],[FY26 Quota Per course]]</f>
        <v>24.4</v>
      </c>
      <c r="I50" s="258">
        <f>ROUNDUP(Table119[[#This Row],[FY26 Courses Needed]],0)</f>
        <v>25</v>
      </c>
      <c r="J50" s="410">
        <v>7</v>
      </c>
      <c r="K50" s="339">
        <f>VLOOKUP(Table119[[#This Row],[Course]],'TSD-Data'!$A$1:$G$70,6,FALSE)</f>
        <v>40</v>
      </c>
      <c r="L50" s="339">
        <f>Table119[[#This Row],[FY26 NSETC Course '# projections]]*Table119[[#This Row],[FY26 Hours Per Course]]</f>
        <v>280</v>
      </c>
      <c r="M50" s="340">
        <f>Table119[[#This Row],[FY26 NSETC Course '# projections]]-Table119[[#This Row],[FY26 Courses Needed Round UP]]</f>
        <v>-18</v>
      </c>
      <c r="N50" s="341">
        <f t="shared" si="18"/>
        <v>0.28688524590163933</v>
      </c>
      <c r="O50" s="259"/>
      <c r="P50" s="270">
        <v>7</v>
      </c>
      <c r="Q50" s="270">
        <v>25</v>
      </c>
      <c r="R50" s="140">
        <v>31</v>
      </c>
      <c r="S50" s="140">
        <v>1</v>
      </c>
      <c r="T50" s="140">
        <v>5</v>
      </c>
      <c r="U50" s="281">
        <f>(Table119[[#This Row],[FY25 Grads]]+Table119[[#This Row],[FY25 Fails]])/Table119[[#This Row],[FY25 Total Courses]]</f>
        <v>4.5714285714285712</v>
      </c>
      <c r="V50" s="140">
        <v>397</v>
      </c>
      <c r="W50" s="276">
        <f t="shared" si="6"/>
        <v>8.0604534005037781E-2</v>
      </c>
      <c r="X50" s="265">
        <v>66</v>
      </c>
      <c r="Y50" s="265">
        <v>3</v>
      </c>
      <c r="Z50" s="267"/>
      <c r="AA50" s="296">
        <v>4</v>
      </c>
      <c r="AB50" s="297">
        <v>25</v>
      </c>
      <c r="AC50" s="298">
        <v>81</v>
      </c>
      <c r="AD50" s="298">
        <v>0</v>
      </c>
      <c r="AE50" s="301">
        <f t="shared" si="13"/>
        <v>20.25</v>
      </c>
      <c r="AF50" s="34">
        <v>126</v>
      </c>
      <c r="AG50" s="302">
        <f>SUM(AC50+AD50)/AF50</f>
        <v>0.6428571428571429</v>
      </c>
      <c r="AH50" s="268"/>
      <c r="AI50" s="325">
        <v>2</v>
      </c>
      <c r="AJ50" s="270">
        <v>25</v>
      </c>
      <c r="AK50" s="140">
        <v>38</v>
      </c>
      <c r="AL50" s="140">
        <v>0</v>
      </c>
      <c r="AM50" s="304">
        <f>AVERAGE(AK50+AL50)/AI50</f>
        <v>19</v>
      </c>
      <c r="AN50" s="292">
        <v>100</v>
      </c>
      <c r="AO50" s="302">
        <f>SUM(AK50+AL50)/AN50</f>
        <v>0.38</v>
      </c>
      <c r="AP50" s="319"/>
      <c r="AQ50" s="295">
        <v>1</v>
      </c>
      <c r="AR50" s="287">
        <v>25</v>
      </c>
      <c r="AS50" s="307">
        <v>25</v>
      </c>
      <c r="AT50" s="307">
        <v>0</v>
      </c>
      <c r="AU50" s="321">
        <v>25</v>
      </c>
      <c r="AV50" s="308">
        <v>25</v>
      </c>
      <c r="AW50" s="309">
        <f>SUM(AS50+AT50)/AV50</f>
        <v>1</v>
      </c>
      <c r="AX50" s="269" t="s">
        <v>441</v>
      </c>
    </row>
    <row r="51" spans="1:50" ht="30.75" thickBot="1" x14ac:dyDescent="0.3">
      <c r="A51" s="477" t="s">
        <v>632</v>
      </c>
      <c r="B51" s="203" t="str">
        <f>VLOOKUP(Table119[[#This Row],[Course]],'TSD-Data'!$A$1:$G$70,7,FALSE)</f>
        <v>N5</v>
      </c>
      <c r="C51" s="203" t="s">
        <v>86</v>
      </c>
      <c r="D51" s="203" t="str">
        <f>VLOOKUP(Table119[[#This Row],[Course]],'TSD-Data'!$A$1:$G$70,2,FALSE)</f>
        <v>TBD</v>
      </c>
      <c r="E51" s="203" t="str">
        <f>VLOOKUP(Table119[[#This Row],[Course]],'TSD-Data'!$A$1:$G$70,3,FALSE)</f>
        <v>TBD</v>
      </c>
      <c r="F51" s="69">
        <v>1304</v>
      </c>
      <c r="G51" s="203">
        <f>VLOOKUP(Table119[[#This Row],[Course]],'TSD-Data'!$A$1:$G$70,4,FALSE)</f>
        <v>45</v>
      </c>
      <c r="H51" s="275">
        <f>Table119[[#This Row],[FY26 FLT Quota Need]]/Table119[[#This Row],[FY26 Quota Per course]]</f>
        <v>28.977777777777778</v>
      </c>
      <c r="I51" s="258">
        <f>ROUNDUP(Table119[[#This Row],[FY26 Courses Needed]],0)</f>
        <v>29</v>
      </c>
      <c r="J51" s="410">
        <v>2</v>
      </c>
      <c r="K51" s="339" t="str">
        <f>VLOOKUP(Table119[[#This Row],[Course]],'TSD-Data'!$A$1:$G$70,6,FALSE)</f>
        <v>TBD</v>
      </c>
      <c r="L51" s="204" t="s">
        <v>236</v>
      </c>
      <c r="M51" s="340">
        <f>Table119[[#This Row],[FY26 NSETC Course '# projections]]-Table119[[#This Row],[FY26 Courses Needed Round UP]]</f>
        <v>-27</v>
      </c>
      <c r="N51" s="341">
        <f t="shared" si="18"/>
        <v>6.9018404907975464E-2</v>
      </c>
      <c r="O51" s="259"/>
      <c r="P51" s="470"/>
      <c r="Q51" s="471"/>
      <c r="R51" s="473"/>
      <c r="S51" s="471"/>
      <c r="T51" s="471"/>
      <c r="U51" s="472"/>
      <c r="V51" s="470"/>
      <c r="W51" s="276"/>
      <c r="X51" s="265"/>
      <c r="Y51" s="266"/>
      <c r="Z51" s="267"/>
      <c r="AA51" s="470"/>
      <c r="AB51" s="471"/>
      <c r="AC51" s="473"/>
      <c r="AD51" s="471"/>
      <c r="AE51" s="471"/>
      <c r="AF51" s="472"/>
      <c r="AG51" s="470"/>
      <c r="AH51" s="268"/>
      <c r="AI51" s="470"/>
      <c r="AJ51" s="471"/>
      <c r="AK51" s="473"/>
      <c r="AL51" s="471"/>
      <c r="AM51" s="471"/>
      <c r="AN51" s="472"/>
      <c r="AO51" s="470"/>
      <c r="AP51" s="319"/>
      <c r="AQ51" s="470"/>
      <c r="AR51" s="471"/>
      <c r="AS51" s="473"/>
      <c r="AT51" s="471"/>
      <c r="AU51" s="471"/>
      <c r="AV51" s="472"/>
      <c r="AW51" s="470"/>
      <c r="AX51" s="246" t="s">
        <v>632</v>
      </c>
    </row>
    <row r="52" spans="1:50" ht="15.75" thickBot="1" x14ac:dyDescent="0.3">
      <c r="A52" s="475" t="s">
        <v>62</v>
      </c>
      <c r="B52" s="476"/>
      <c r="C52" s="476"/>
      <c r="D52" s="476"/>
      <c r="E52" s="476"/>
      <c r="F52" s="476"/>
      <c r="G52" s="476"/>
      <c r="H52" s="476"/>
      <c r="I52" s="476"/>
      <c r="J52" s="476"/>
      <c r="K52" s="476"/>
      <c r="L52" s="476"/>
      <c r="M52" s="476"/>
      <c r="N52" s="476"/>
      <c r="O52" s="262"/>
      <c r="P52" s="212">
        <f>SUBTOTAL(109,Table119[FY25 Total Courses])</f>
        <v>536</v>
      </c>
      <c r="Q52" s="212">
        <f>SUBTOTAL(109,Table119[FY25 Quota Per Course])</f>
        <v>2395</v>
      </c>
      <c r="R52" s="212">
        <f>SUBTOTAL(109,Table119[FY25 Grads])</f>
        <v>6964</v>
      </c>
      <c r="S52" s="212">
        <f>SUBTOTAL(109,Table119[FY25 Fails])</f>
        <v>152</v>
      </c>
      <c r="T52" s="212">
        <f>SUBTOTAL(109,Table119[FY25 No Shows])</f>
        <v>1335</v>
      </c>
      <c r="U52" s="212"/>
      <c r="V52" s="212"/>
      <c r="W52" s="212"/>
      <c r="X52" s="213">
        <f>SUBTOTAL(109,Table119[Quotas: All Data])</f>
        <v>27097</v>
      </c>
      <c r="Y52" s="213">
        <f>SUBTOTAL(109,Table119[Courses Needed: All Data])</f>
        <v>890</v>
      </c>
      <c r="Z52" s="214"/>
      <c r="AA52" s="205">
        <f>SUM(AA2:AA51)</f>
        <v>433</v>
      </c>
      <c r="AB52" s="205">
        <f>SUM(AB2:AB51)</f>
        <v>1255</v>
      </c>
      <c r="AC52" s="205">
        <f>SUM(AC2:AC51)</f>
        <v>10648</v>
      </c>
      <c r="AD52" s="205">
        <f>SUBTOTAL(109,AD2:AD51)</f>
        <v>216</v>
      </c>
      <c r="AE52" s="205"/>
      <c r="AF52" s="205">
        <f>SUM(AF2:AF51)</f>
        <v>26845</v>
      </c>
      <c r="AG52" s="205"/>
      <c r="AH52" s="214"/>
      <c r="AI52" s="205">
        <f>SUM(AI2:AI51)</f>
        <v>431</v>
      </c>
      <c r="AJ52" s="205">
        <f>SUM(AJ2:AJ51)</f>
        <v>1120</v>
      </c>
      <c r="AK52" s="205">
        <f>SUM(AK2:AK51)</f>
        <v>10137</v>
      </c>
      <c r="AL52" s="205">
        <f>SUM(AT2:AT51)</f>
        <v>173</v>
      </c>
      <c r="AM52" s="205"/>
      <c r="AN52" s="205">
        <f>SUM(AN2:AN51)</f>
        <v>15180</v>
      </c>
      <c r="AO52" s="204"/>
      <c r="AP52" s="215"/>
      <c r="AQ52" s="205">
        <f>SUBTOTAL(109,Table119[FY22 Total Courses])</f>
        <v>351</v>
      </c>
      <c r="AR52" s="205">
        <f>SUM(AR2:AR51)</f>
        <v>1000</v>
      </c>
      <c r="AS52" s="205">
        <f>SUM(AS2:AS51)</f>
        <v>8105</v>
      </c>
      <c r="AT52" s="205">
        <f>SUM(AT2:AT51)</f>
        <v>173</v>
      </c>
      <c r="AU52" s="205"/>
      <c r="AV52" s="205">
        <f>SUM(AV2:AV51)</f>
        <v>10836</v>
      </c>
      <c r="AW52" s="216"/>
      <c r="AX52" s="217" t="s">
        <v>62</v>
      </c>
    </row>
    <row r="53" spans="1:50" ht="45" x14ac:dyDescent="0.25">
      <c r="P53" s="264" t="s">
        <v>787</v>
      </c>
    </row>
    <row r="54" spans="1:50" x14ac:dyDescent="0.25">
      <c r="AP54" s="218"/>
      <c r="AR54" s="13"/>
    </row>
    <row r="55" spans="1:50" x14ac:dyDescent="0.25">
      <c r="AQ55" s="13"/>
      <c r="AR55" s="13"/>
    </row>
    <row r="56" spans="1:50" x14ac:dyDescent="0.25">
      <c r="AQ56" s="13"/>
      <c r="AR56" s="13"/>
    </row>
    <row r="57" spans="1:50" x14ac:dyDescent="0.25">
      <c r="AQ57" s="13"/>
      <c r="AR57" s="13"/>
    </row>
    <row r="58" spans="1:50" x14ac:dyDescent="0.25">
      <c r="AQ58" s="13"/>
      <c r="AR58" s="13"/>
    </row>
    <row r="59" spans="1:50" x14ac:dyDescent="0.25">
      <c r="AQ59" s="13"/>
      <c r="AR59" s="13"/>
    </row>
    <row r="60" spans="1:50" x14ac:dyDescent="0.25">
      <c r="AQ60" s="13"/>
      <c r="AR60" s="13"/>
    </row>
    <row r="61" spans="1:50" x14ac:dyDescent="0.25">
      <c r="AQ61" s="13"/>
      <c r="AR61" s="13"/>
    </row>
    <row r="62" spans="1:50" x14ac:dyDescent="0.25">
      <c r="AQ62" s="13"/>
      <c r="AR62" s="13"/>
    </row>
    <row r="63" spans="1:50" x14ac:dyDescent="0.25">
      <c r="AQ63" s="13"/>
      <c r="AR63" s="13"/>
    </row>
    <row r="64" spans="1:50" x14ac:dyDescent="0.25">
      <c r="AQ64" s="13"/>
      <c r="AR64" s="13"/>
    </row>
    <row r="65" spans="43:44" x14ac:dyDescent="0.25">
      <c r="AQ65" s="13"/>
      <c r="AR65" s="13"/>
    </row>
    <row r="66" spans="43:44" x14ac:dyDescent="0.25">
      <c r="AQ66" s="13"/>
      <c r="AR66" s="13"/>
    </row>
    <row r="67" spans="43:44" x14ac:dyDescent="0.25">
      <c r="AQ67" s="13"/>
      <c r="AR67" s="13"/>
    </row>
    <row r="68" spans="43:44" x14ac:dyDescent="0.25">
      <c r="AQ68" s="13"/>
      <c r="AR68" s="13"/>
    </row>
    <row r="69" spans="43:44" x14ac:dyDescent="0.25">
      <c r="AQ69" s="13"/>
      <c r="AR69" s="13"/>
    </row>
  </sheetData>
  <conditionalFormatting sqref="R2:R21 AF2:AF21 AN2:AN21 AJ2:AJ27 AB2:AB29 R23:R30 AF31 AF33:AF50">
    <cfRule type="cellIs" dxfId="1" priority="2" operator="lessThan">
      <formula>0</formula>
    </cfRule>
  </conditionalFormatting>
  <conditionalFormatting sqref="AF23:AF25 AN23:AN28 AF27:AF29">
    <cfRule type="cellIs" dxfId="0" priority="3" operator="lessThan">
      <formula>0</formula>
    </cfRule>
  </conditionalFormatting>
  <pageMargins left="0.7" right="0.7" top="0.75" bottom="0.75" header="0.3" footer="0.3"/>
  <pageSetup paperSize="5" scale="99" fitToHeight="0" orientation="landscape" r:id="rId1"/>
  <ignoredErrors>
    <ignoredError sqref="L51 H32:I32 K32:M32" calculatedColum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344D2CD-7080-4BEF-BE3C-CAA59B99D271}">
          <x14:formula1>
            <xm:f>'TSD-Data'!$A$2:$A$69</xm:f>
          </x14:formula1>
          <xm:sqref>A36:A46 A11 A16:A19 A25:A30 A34 A48:A50 AX36:AX46</xm:sqref>
        </x14:dataValidation>
        <x14:dataValidation type="list" allowBlank="1" showInputMessage="1" showErrorMessage="1" xr:uid="{3347AA53-3C81-4431-BFD3-03BA0623CD0B}">
          <x14:formula1>
            <xm:f>'TSD-Data'!$A$2:$A$70</xm:f>
          </x14:formula1>
          <xm:sqref>A3 A5 A9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6A060-0F16-4A11-A3E9-3A5D560C1F85}">
  <sheetPr>
    <tabColor theme="9" tint="0.79998168889431442"/>
  </sheetPr>
  <dimension ref="A1:CJ21"/>
  <sheetViews>
    <sheetView zoomScale="110" zoomScaleNormal="11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RowHeight="15" x14ac:dyDescent="0.25"/>
  <cols>
    <col min="1" max="1" width="59.140625" bestFit="1" customWidth="1"/>
    <col min="2" max="2" width="16.28515625" bestFit="1" customWidth="1"/>
    <col min="3" max="3" width="3.7109375" bestFit="1" customWidth="1"/>
    <col min="4" max="14" width="3.7109375" customWidth="1"/>
    <col min="15" max="15" width="3.7109375" bestFit="1" customWidth="1"/>
    <col min="16" max="16" width="4" bestFit="1" customWidth="1"/>
    <col min="17" max="49" width="3.7109375" customWidth="1"/>
    <col min="50" max="50" width="3.7109375" bestFit="1" customWidth="1"/>
    <col min="51" max="57" width="3.7109375" customWidth="1"/>
    <col min="58" max="58" width="5.85546875" customWidth="1"/>
    <col min="59" max="64" width="3.7109375" customWidth="1"/>
    <col min="65" max="65" width="3.7109375" bestFit="1" customWidth="1"/>
    <col min="66" max="73" width="3.7109375" customWidth="1"/>
    <col min="74" max="74" width="6.7109375" customWidth="1"/>
    <col min="75" max="75" width="3.7109375" bestFit="1" customWidth="1"/>
    <col min="76" max="86" width="3.7109375" customWidth="1"/>
    <col min="87" max="87" width="4" bestFit="1" customWidth="1"/>
    <col min="88" max="88" width="8" customWidth="1"/>
    <col min="89" max="1184" width="59.28515625" bestFit="1" customWidth="1"/>
    <col min="1185" max="1185" width="29.85546875" bestFit="1" customWidth="1"/>
    <col min="1186" max="1186" width="39.28515625" bestFit="1" customWidth="1"/>
    <col min="1187" max="1187" width="41" bestFit="1" customWidth="1"/>
    <col min="1188" max="1188" width="50.5703125" bestFit="1" customWidth="1"/>
    <col min="1189" max="1189" width="36.7109375" bestFit="1" customWidth="1"/>
    <col min="1190" max="1190" width="40.42578125" bestFit="1" customWidth="1"/>
    <col min="1191" max="1191" width="53.28515625" bestFit="1" customWidth="1"/>
    <col min="1192" max="1192" width="33.28515625" bestFit="1" customWidth="1"/>
    <col min="1193" max="1193" width="39.85546875" bestFit="1" customWidth="1"/>
    <col min="1194" max="1194" width="46" bestFit="1" customWidth="1"/>
    <col min="1195" max="1195" width="38.28515625" bestFit="1" customWidth="1"/>
    <col min="1196" max="1196" width="59.140625" bestFit="1" customWidth="1"/>
    <col min="1197" max="1197" width="64.28515625" bestFit="1" customWidth="1"/>
    <col min="1198" max="1198" width="53.85546875" bestFit="1" customWidth="1"/>
    <col min="1199" max="1199" width="35" bestFit="1" customWidth="1"/>
    <col min="1200" max="1200" width="56" bestFit="1" customWidth="1"/>
  </cols>
  <sheetData>
    <row r="1" spans="1:88" x14ac:dyDescent="0.25">
      <c r="A1" s="6" t="s">
        <v>426</v>
      </c>
      <c r="B1" t="s">
        <v>633</v>
      </c>
    </row>
    <row r="3" spans="1:88" x14ac:dyDescent="0.25">
      <c r="B3" s="6" t="s">
        <v>634</v>
      </c>
    </row>
    <row r="4" spans="1:88" ht="147" x14ac:dyDescent="0.25">
      <c r="A4" s="337" t="s">
        <v>635</v>
      </c>
      <c r="B4" s="326" t="s">
        <v>636</v>
      </c>
      <c r="C4" s="326" t="s">
        <v>234</v>
      </c>
      <c r="D4" s="326" t="s">
        <v>239</v>
      </c>
      <c r="E4" s="326" t="s">
        <v>637</v>
      </c>
      <c r="F4" s="326" t="s">
        <v>250</v>
      </c>
      <c r="G4" s="326" t="s">
        <v>157</v>
      </c>
      <c r="H4" s="326" t="s">
        <v>158</v>
      </c>
      <c r="I4" s="326" t="s">
        <v>638</v>
      </c>
      <c r="J4" s="326" t="s">
        <v>639</v>
      </c>
      <c r="K4" s="326" t="s">
        <v>159</v>
      </c>
      <c r="L4" s="326" t="s">
        <v>160</v>
      </c>
      <c r="M4" s="360" t="s">
        <v>640</v>
      </c>
      <c r="N4" s="326" t="s">
        <v>273</v>
      </c>
      <c r="O4" s="326" t="s">
        <v>275</v>
      </c>
      <c r="P4" s="326" t="s">
        <v>276</v>
      </c>
      <c r="Q4" s="326" t="s">
        <v>278</v>
      </c>
      <c r="R4" s="326" t="s">
        <v>281</v>
      </c>
      <c r="S4" s="361" t="s">
        <v>641</v>
      </c>
      <c r="T4" s="326" t="s">
        <v>284</v>
      </c>
      <c r="U4" s="361" t="s">
        <v>642</v>
      </c>
      <c r="V4" s="326" t="s">
        <v>161</v>
      </c>
      <c r="W4" s="326" t="s">
        <v>643</v>
      </c>
      <c r="X4" s="326" t="s">
        <v>644</v>
      </c>
      <c r="Y4" s="326" t="s">
        <v>290</v>
      </c>
      <c r="Z4" s="361" t="s">
        <v>291</v>
      </c>
      <c r="AA4" s="326" t="s">
        <v>162</v>
      </c>
      <c r="AB4" s="326" t="s">
        <v>294</v>
      </c>
      <c r="AC4" s="326" t="s">
        <v>163</v>
      </c>
      <c r="AD4" s="326" t="s">
        <v>300</v>
      </c>
      <c r="AE4" s="326" t="s">
        <v>305</v>
      </c>
      <c r="AF4" s="326" t="s">
        <v>165</v>
      </c>
      <c r="AG4" s="326" t="s">
        <v>645</v>
      </c>
      <c r="AH4" s="326" t="s">
        <v>314</v>
      </c>
      <c r="AI4" s="326" t="s">
        <v>646</v>
      </c>
      <c r="AJ4" s="326" t="s">
        <v>647</v>
      </c>
      <c r="AK4" s="361" t="s">
        <v>648</v>
      </c>
      <c r="AL4" s="326" t="s">
        <v>321</v>
      </c>
      <c r="AM4" s="326" t="s">
        <v>166</v>
      </c>
      <c r="AN4" s="326" t="s">
        <v>167</v>
      </c>
      <c r="AO4" s="326" t="s">
        <v>522</v>
      </c>
      <c r="AP4" s="326" t="s">
        <v>649</v>
      </c>
      <c r="AQ4" s="326" t="s">
        <v>182</v>
      </c>
      <c r="AR4" s="326" t="s">
        <v>650</v>
      </c>
      <c r="AS4" s="326" t="s">
        <v>651</v>
      </c>
      <c r="AT4" s="326" t="s">
        <v>508</v>
      </c>
      <c r="AU4" s="326" t="s">
        <v>652</v>
      </c>
      <c r="AV4" s="326" t="s">
        <v>653</v>
      </c>
      <c r="AW4" s="361" t="s">
        <v>654</v>
      </c>
      <c r="AX4" s="326" t="s">
        <v>655</v>
      </c>
      <c r="AY4" s="326" t="s">
        <v>656</v>
      </c>
      <c r="AZ4" s="361" t="s">
        <v>657</v>
      </c>
      <c r="BA4" s="326" t="s">
        <v>352</v>
      </c>
      <c r="BB4" s="361" t="s">
        <v>357</v>
      </c>
      <c r="BC4" s="326" t="s">
        <v>658</v>
      </c>
      <c r="BD4" s="326" t="s">
        <v>360</v>
      </c>
      <c r="BE4" s="326" t="s">
        <v>364</v>
      </c>
      <c r="BF4" s="326" t="s">
        <v>168</v>
      </c>
      <c r="BG4" s="326" t="s">
        <v>172</v>
      </c>
      <c r="BH4" s="326" t="s">
        <v>214</v>
      </c>
      <c r="BI4" s="326" t="s">
        <v>659</v>
      </c>
      <c r="BJ4" s="362" t="s">
        <v>173</v>
      </c>
      <c r="BK4" s="326" t="s">
        <v>174</v>
      </c>
      <c r="BL4" s="326" t="s">
        <v>398</v>
      </c>
      <c r="BM4" s="326" t="s">
        <v>399</v>
      </c>
      <c r="BN4" s="326" t="s">
        <v>401</v>
      </c>
      <c r="BO4" s="326" t="s">
        <v>175</v>
      </c>
      <c r="BP4" s="326" t="s">
        <v>404</v>
      </c>
      <c r="BQ4" s="326" t="s">
        <v>660</v>
      </c>
      <c r="BR4" s="326" t="s">
        <v>408</v>
      </c>
      <c r="BS4" s="326" t="s">
        <v>661</v>
      </c>
      <c r="BT4" s="326" t="s">
        <v>409</v>
      </c>
      <c r="BU4" s="326" t="s">
        <v>411</v>
      </c>
      <c r="BV4" s="326" t="s">
        <v>176</v>
      </c>
      <c r="BW4" s="326" t="s">
        <v>414</v>
      </c>
      <c r="BX4" s="326" t="s">
        <v>415</v>
      </c>
      <c r="BY4" s="326" t="s">
        <v>185</v>
      </c>
      <c r="BZ4" s="361" t="s">
        <v>662</v>
      </c>
      <c r="CA4" s="326" t="s">
        <v>416</v>
      </c>
      <c r="CB4" s="361" t="s">
        <v>663</v>
      </c>
      <c r="CC4" s="326" t="s">
        <v>420</v>
      </c>
      <c r="CD4" s="326" t="s">
        <v>177</v>
      </c>
      <c r="CE4" s="326" t="s">
        <v>421</v>
      </c>
      <c r="CF4" s="326" t="s">
        <v>178</v>
      </c>
      <c r="CG4" s="326" t="s">
        <v>423</v>
      </c>
      <c r="CH4" s="361" t="s">
        <v>664</v>
      </c>
      <c r="CI4" s="326" t="s">
        <v>179</v>
      </c>
      <c r="CJ4" s="327" t="s">
        <v>186</v>
      </c>
    </row>
    <row r="5" spans="1:88" x14ac:dyDescent="0.25">
      <c r="A5" s="328" t="s">
        <v>665</v>
      </c>
      <c r="B5" s="68"/>
      <c r="C5" s="68">
        <v>0</v>
      </c>
      <c r="D5" s="68">
        <v>2</v>
      </c>
      <c r="E5" s="68">
        <v>1</v>
      </c>
      <c r="F5" s="68">
        <v>8</v>
      </c>
      <c r="G5" s="68">
        <v>6</v>
      </c>
      <c r="H5" s="68">
        <v>0</v>
      </c>
      <c r="I5" s="68"/>
      <c r="J5" s="68"/>
      <c r="K5" s="68">
        <v>8</v>
      </c>
      <c r="L5" s="68"/>
      <c r="M5" s="68">
        <v>1</v>
      </c>
      <c r="N5" s="68">
        <v>0</v>
      </c>
      <c r="O5" s="68">
        <v>0</v>
      </c>
      <c r="P5" s="68">
        <v>1</v>
      </c>
      <c r="Q5" s="68">
        <v>0</v>
      </c>
      <c r="R5" s="68">
        <v>0</v>
      </c>
      <c r="S5" s="68"/>
      <c r="T5" s="68">
        <v>0</v>
      </c>
      <c r="U5" s="68">
        <v>1</v>
      </c>
      <c r="V5" s="68">
        <v>0</v>
      </c>
      <c r="W5" s="68">
        <v>1</v>
      </c>
      <c r="X5" s="68">
        <v>2</v>
      </c>
      <c r="Y5" s="68">
        <v>0</v>
      </c>
      <c r="Z5" s="68"/>
      <c r="AA5" s="68">
        <v>14</v>
      </c>
      <c r="AB5" s="68">
        <v>2</v>
      </c>
      <c r="AC5" s="68">
        <v>2</v>
      </c>
      <c r="AD5" s="68">
        <v>15</v>
      </c>
      <c r="AE5" s="68">
        <v>0</v>
      </c>
      <c r="AF5" s="68">
        <v>5</v>
      </c>
      <c r="AG5" s="68">
        <v>0</v>
      </c>
      <c r="AH5" s="68">
        <v>2</v>
      </c>
      <c r="AI5" s="68">
        <v>2</v>
      </c>
      <c r="AJ5" s="68">
        <v>0</v>
      </c>
      <c r="AK5" s="68"/>
      <c r="AL5" s="68">
        <v>2</v>
      </c>
      <c r="AM5" s="68">
        <v>1</v>
      </c>
      <c r="AN5" s="68">
        <v>2</v>
      </c>
      <c r="AO5" s="68"/>
      <c r="AP5" s="68"/>
      <c r="AQ5" s="68"/>
      <c r="AR5" s="68">
        <v>30</v>
      </c>
      <c r="AS5" s="68">
        <v>1</v>
      </c>
      <c r="AT5" s="68"/>
      <c r="AU5" s="68"/>
      <c r="AV5" s="68">
        <v>2</v>
      </c>
      <c r="AW5" s="68">
        <v>3</v>
      </c>
      <c r="AX5" s="68"/>
      <c r="AY5" s="68">
        <v>0</v>
      </c>
      <c r="AZ5" s="68">
        <v>1</v>
      </c>
      <c r="BA5" s="68">
        <v>0</v>
      </c>
      <c r="BB5" s="68"/>
      <c r="BC5" s="68">
        <v>2</v>
      </c>
      <c r="BD5" s="68">
        <v>3</v>
      </c>
      <c r="BE5" s="68">
        <v>2</v>
      </c>
      <c r="BF5" s="68">
        <v>149</v>
      </c>
      <c r="BG5" s="68">
        <v>32</v>
      </c>
      <c r="BH5" s="68">
        <v>2</v>
      </c>
      <c r="BI5" s="68">
        <v>12</v>
      </c>
      <c r="BJ5" s="68"/>
      <c r="BK5" s="68">
        <v>35</v>
      </c>
      <c r="BL5" s="68">
        <v>2</v>
      </c>
      <c r="BM5" s="68">
        <v>4</v>
      </c>
      <c r="BN5" s="68">
        <v>1</v>
      </c>
      <c r="BO5" s="68">
        <v>0</v>
      </c>
      <c r="BP5" s="68">
        <v>4</v>
      </c>
      <c r="BQ5" s="68"/>
      <c r="BR5" s="68">
        <v>7</v>
      </c>
      <c r="BS5" s="68"/>
      <c r="BT5" s="68">
        <v>0</v>
      </c>
      <c r="BU5" s="68">
        <v>0</v>
      </c>
      <c r="BV5" s="68">
        <v>71</v>
      </c>
      <c r="BW5" s="68">
        <v>5</v>
      </c>
      <c r="BX5" s="68">
        <v>1</v>
      </c>
      <c r="BY5" s="68">
        <v>0</v>
      </c>
      <c r="BZ5" s="68">
        <v>0</v>
      </c>
      <c r="CA5" s="68">
        <v>0</v>
      </c>
      <c r="CB5" s="68"/>
      <c r="CC5" s="68">
        <v>1</v>
      </c>
      <c r="CD5" s="68">
        <v>4</v>
      </c>
      <c r="CE5" s="68">
        <v>2</v>
      </c>
      <c r="CF5" s="68">
        <v>3</v>
      </c>
      <c r="CG5" s="68"/>
      <c r="CH5" s="68">
        <v>1</v>
      </c>
      <c r="CI5" s="68">
        <v>14</v>
      </c>
      <c r="CJ5" s="338">
        <v>472</v>
      </c>
    </row>
    <row r="6" spans="1:88" x14ac:dyDescent="0.25">
      <c r="A6" s="328" t="s">
        <v>666</v>
      </c>
      <c r="B6" s="68"/>
      <c r="C6" s="68">
        <v>3</v>
      </c>
      <c r="D6" s="68">
        <v>0</v>
      </c>
      <c r="E6" s="68">
        <v>1</v>
      </c>
      <c r="F6" s="68">
        <v>8</v>
      </c>
      <c r="G6" s="68">
        <v>2</v>
      </c>
      <c r="H6" s="68">
        <v>0</v>
      </c>
      <c r="I6" s="68"/>
      <c r="J6" s="68">
        <v>1</v>
      </c>
      <c r="K6" s="68">
        <v>3</v>
      </c>
      <c r="L6" s="68"/>
      <c r="M6" s="68"/>
      <c r="N6" s="68">
        <v>0</v>
      </c>
      <c r="O6" s="68">
        <v>2</v>
      </c>
      <c r="P6" s="68">
        <v>0</v>
      </c>
      <c r="Q6" s="68">
        <v>0</v>
      </c>
      <c r="R6" s="68">
        <v>0</v>
      </c>
      <c r="S6" s="68"/>
      <c r="T6" s="68">
        <v>0</v>
      </c>
      <c r="U6" s="68"/>
      <c r="V6" s="68">
        <v>0</v>
      </c>
      <c r="W6" s="68">
        <v>0</v>
      </c>
      <c r="X6" s="68"/>
      <c r="Y6" s="68">
        <v>0</v>
      </c>
      <c r="Z6" s="68"/>
      <c r="AA6" s="68">
        <v>0</v>
      </c>
      <c r="AB6" s="68">
        <v>0</v>
      </c>
      <c r="AC6" s="68">
        <v>0</v>
      </c>
      <c r="AD6" s="68">
        <v>2</v>
      </c>
      <c r="AE6" s="68">
        <v>0</v>
      </c>
      <c r="AF6" s="68">
        <v>8</v>
      </c>
      <c r="AG6" s="68">
        <v>0</v>
      </c>
      <c r="AH6" s="68">
        <v>2</v>
      </c>
      <c r="AI6" s="68">
        <v>0</v>
      </c>
      <c r="AJ6" s="68">
        <v>0</v>
      </c>
      <c r="AK6" s="68"/>
      <c r="AL6" s="68">
        <v>0</v>
      </c>
      <c r="AM6" s="68">
        <v>0</v>
      </c>
      <c r="AN6" s="68">
        <v>0</v>
      </c>
      <c r="AO6" s="68"/>
      <c r="AP6" s="68"/>
      <c r="AQ6" s="68"/>
      <c r="AR6" s="68"/>
      <c r="AS6" s="68">
        <v>2</v>
      </c>
      <c r="AT6" s="68"/>
      <c r="AU6" s="68"/>
      <c r="AV6" s="68"/>
      <c r="AW6" s="68">
        <v>3</v>
      </c>
      <c r="AX6" s="68"/>
      <c r="AY6" s="68">
        <v>2</v>
      </c>
      <c r="AZ6" s="68"/>
      <c r="BA6" s="68">
        <v>2</v>
      </c>
      <c r="BB6" s="68"/>
      <c r="BC6" s="68">
        <v>2</v>
      </c>
      <c r="BD6" s="68"/>
      <c r="BE6" s="68">
        <v>3</v>
      </c>
      <c r="BF6" s="68">
        <v>17</v>
      </c>
      <c r="BG6" s="68">
        <v>24</v>
      </c>
      <c r="BH6" s="68">
        <v>0</v>
      </c>
      <c r="BI6" s="68">
        <v>2</v>
      </c>
      <c r="BJ6" s="68"/>
      <c r="BK6" s="68">
        <v>33</v>
      </c>
      <c r="BL6" s="68">
        <v>2</v>
      </c>
      <c r="BM6" s="68">
        <v>5</v>
      </c>
      <c r="BN6" s="68">
        <v>0</v>
      </c>
      <c r="BO6" s="68">
        <v>0</v>
      </c>
      <c r="BP6" s="68">
        <v>2</v>
      </c>
      <c r="BQ6" s="68"/>
      <c r="BR6" s="68">
        <v>1</v>
      </c>
      <c r="BS6" s="68"/>
      <c r="BT6" s="68">
        <v>3</v>
      </c>
      <c r="BU6" s="68">
        <v>0</v>
      </c>
      <c r="BV6" s="68">
        <v>60</v>
      </c>
      <c r="BW6" s="68">
        <v>0</v>
      </c>
      <c r="BX6" s="68">
        <v>0</v>
      </c>
      <c r="BY6" s="68">
        <v>2</v>
      </c>
      <c r="BZ6" s="68">
        <v>0</v>
      </c>
      <c r="CA6" s="68">
        <v>2</v>
      </c>
      <c r="CB6" s="68"/>
      <c r="CC6" s="68">
        <v>0</v>
      </c>
      <c r="CD6" s="68">
        <v>4</v>
      </c>
      <c r="CE6" s="68">
        <v>2</v>
      </c>
      <c r="CF6" s="68">
        <v>0</v>
      </c>
      <c r="CG6" s="68"/>
      <c r="CH6" s="68">
        <v>2</v>
      </c>
      <c r="CI6" s="68">
        <v>9</v>
      </c>
      <c r="CJ6" s="338">
        <v>216</v>
      </c>
    </row>
    <row r="7" spans="1:88" x14ac:dyDescent="0.25">
      <c r="A7" s="328" t="s">
        <v>667</v>
      </c>
      <c r="B7" s="68"/>
      <c r="C7" s="68">
        <v>0</v>
      </c>
      <c r="D7" s="68">
        <v>2</v>
      </c>
      <c r="E7" s="68">
        <v>1</v>
      </c>
      <c r="F7" s="68">
        <v>5</v>
      </c>
      <c r="G7" s="68">
        <v>6</v>
      </c>
      <c r="H7" s="68">
        <v>0</v>
      </c>
      <c r="I7" s="68"/>
      <c r="J7" s="68"/>
      <c r="K7" s="68">
        <v>4</v>
      </c>
      <c r="L7" s="68"/>
      <c r="M7" s="68"/>
      <c r="N7" s="68">
        <v>0</v>
      </c>
      <c r="O7" s="68">
        <v>0</v>
      </c>
      <c r="P7" s="68">
        <v>0</v>
      </c>
      <c r="Q7" s="68">
        <v>0</v>
      </c>
      <c r="R7" s="68">
        <v>0</v>
      </c>
      <c r="S7" s="68"/>
      <c r="T7" s="68">
        <v>0</v>
      </c>
      <c r="U7" s="68"/>
      <c r="V7" s="68">
        <v>0</v>
      </c>
      <c r="W7" s="68">
        <v>0</v>
      </c>
      <c r="X7" s="68">
        <v>2</v>
      </c>
      <c r="Y7" s="68">
        <v>0</v>
      </c>
      <c r="Z7" s="68"/>
      <c r="AA7" s="68">
        <v>16</v>
      </c>
      <c r="AB7" s="68">
        <v>2</v>
      </c>
      <c r="AC7" s="68">
        <v>2</v>
      </c>
      <c r="AD7" s="68">
        <v>14</v>
      </c>
      <c r="AE7" s="68">
        <v>0</v>
      </c>
      <c r="AF7" s="68">
        <v>3</v>
      </c>
      <c r="AG7" s="68">
        <v>0</v>
      </c>
      <c r="AH7" s="68">
        <v>2</v>
      </c>
      <c r="AI7" s="68">
        <v>2</v>
      </c>
      <c r="AJ7" s="68">
        <v>0</v>
      </c>
      <c r="AK7" s="68"/>
      <c r="AL7" s="68">
        <v>2</v>
      </c>
      <c r="AM7" s="68">
        <v>0</v>
      </c>
      <c r="AN7" s="68">
        <v>2</v>
      </c>
      <c r="AO7" s="68"/>
      <c r="AP7" s="68"/>
      <c r="AQ7" s="68"/>
      <c r="AR7" s="68"/>
      <c r="AS7" s="68"/>
      <c r="AT7" s="68"/>
      <c r="AU7" s="68"/>
      <c r="AV7" s="68">
        <v>2</v>
      </c>
      <c r="AW7" s="68">
        <v>3</v>
      </c>
      <c r="AX7" s="68"/>
      <c r="AY7" s="68">
        <v>0</v>
      </c>
      <c r="AZ7" s="68"/>
      <c r="BA7" s="68">
        <v>0</v>
      </c>
      <c r="BB7" s="68"/>
      <c r="BC7" s="68">
        <v>2</v>
      </c>
      <c r="BD7" s="68"/>
      <c r="BE7" s="68">
        <v>1</v>
      </c>
      <c r="BF7" s="68">
        <v>14</v>
      </c>
      <c r="BG7" s="68">
        <v>22</v>
      </c>
      <c r="BH7" s="68">
        <v>2</v>
      </c>
      <c r="BI7" s="68">
        <v>0</v>
      </c>
      <c r="BJ7" s="68"/>
      <c r="BK7" s="68">
        <v>9</v>
      </c>
      <c r="BL7" s="68">
        <v>2</v>
      </c>
      <c r="BM7" s="68">
        <v>1</v>
      </c>
      <c r="BN7" s="68">
        <v>0</v>
      </c>
      <c r="BO7" s="68">
        <v>0</v>
      </c>
      <c r="BP7" s="68">
        <v>4</v>
      </c>
      <c r="BQ7" s="68"/>
      <c r="BR7" s="68">
        <v>1</v>
      </c>
      <c r="BS7" s="68"/>
      <c r="BT7" s="68">
        <v>0</v>
      </c>
      <c r="BU7" s="68">
        <v>0</v>
      </c>
      <c r="BV7" s="68">
        <v>31</v>
      </c>
      <c r="BW7" s="68">
        <v>5</v>
      </c>
      <c r="BX7" s="68">
        <v>0</v>
      </c>
      <c r="BY7" s="68">
        <v>0</v>
      </c>
      <c r="BZ7" s="68">
        <v>0</v>
      </c>
      <c r="CA7" s="68">
        <v>0</v>
      </c>
      <c r="CB7" s="68"/>
      <c r="CC7" s="68">
        <v>0</v>
      </c>
      <c r="CD7" s="68">
        <v>3</v>
      </c>
      <c r="CE7" s="68">
        <v>2</v>
      </c>
      <c r="CF7" s="68">
        <v>0</v>
      </c>
      <c r="CG7" s="68"/>
      <c r="CH7" s="68"/>
      <c r="CI7" s="68">
        <v>12</v>
      </c>
      <c r="CJ7" s="338">
        <v>181</v>
      </c>
    </row>
    <row r="8" spans="1:88" x14ac:dyDescent="0.25">
      <c r="A8" s="328" t="s">
        <v>668</v>
      </c>
      <c r="B8" s="68"/>
      <c r="C8" s="68">
        <v>3</v>
      </c>
      <c r="D8" s="68">
        <v>0</v>
      </c>
      <c r="E8" s="68">
        <v>1</v>
      </c>
      <c r="F8" s="68">
        <v>4</v>
      </c>
      <c r="G8" s="68">
        <v>4</v>
      </c>
      <c r="H8" s="68">
        <v>0</v>
      </c>
      <c r="I8" s="68"/>
      <c r="J8" s="68">
        <v>1</v>
      </c>
      <c r="K8" s="68">
        <v>3</v>
      </c>
      <c r="L8" s="68"/>
      <c r="M8" s="68"/>
      <c r="N8" s="68">
        <v>0</v>
      </c>
      <c r="O8" s="68">
        <v>2</v>
      </c>
      <c r="P8" s="68">
        <v>0</v>
      </c>
      <c r="Q8" s="68">
        <v>0</v>
      </c>
      <c r="R8" s="68">
        <v>0</v>
      </c>
      <c r="S8" s="68"/>
      <c r="T8" s="68">
        <v>0</v>
      </c>
      <c r="U8" s="68"/>
      <c r="V8" s="68">
        <v>0</v>
      </c>
      <c r="W8" s="68">
        <v>0</v>
      </c>
      <c r="X8" s="68"/>
      <c r="Y8" s="68">
        <v>0</v>
      </c>
      <c r="Z8" s="68"/>
      <c r="AA8" s="68">
        <v>6</v>
      </c>
      <c r="AB8" s="68">
        <v>0</v>
      </c>
      <c r="AC8" s="68">
        <v>0</v>
      </c>
      <c r="AD8" s="68">
        <v>3</v>
      </c>
      <c r="AE8" s="68">
        <v>0</v>
      </c>
      <c r="AF8" s="68">
        <v>3</v>
      </c>
      <c r="AG8" s="68">
        <v>0</v>
      </c>
      <c r="AH8" s="68">
        <v>2</v>
      </c>
      <c r="AI8" s="68">
        <v>0</v>
      </c>
      <c r="AJ8" s="68">
        <v>0</v>
      </c>
      <c r="AK8" s="68"/>
      <c r="AL8" s="68">
        <v>0</v>
      </c>
      <c r="AM8" s="68">
        <v>0</v>
      </c>
      <c r="AN8" s="68">
        <v>0</v>
      </c>
      <c r="AO8" s="68"/>
      <c r="AP8" s="68"/>
      <c r="AQ8" s="68"/>
      <c r="AR8" s="68"/>
      <c r="AS8" s="68">
        <v>2</v>
      </c>
      <c r="AT8" s="68"/>
      <c r="AU8" s="68"/>
      <c r="AV8" s="68"/>
      <c r="AW8" s="68">
        <v>3</v>
      </c>
      <c r="AX8" s="68"/>
      <c r="AY8" s="68">
        <v>2</v>
      </c>
      <c r="AZ8" s="68"/>
      <c r="BA8" s="68">
        <v>1</v>
      </c>
      <c r="BB8" s="68"/>
      <c r="BC8" s="68">
        <v>2</v>
      </c>
      <c r="BD8" s="68"/>
      <c r="BE8" s="68">
        <v>2</v>
      </c>
      <c r="BF8" s="68">
        <v>13</v>
      </c>
      <c r="BG8" s="68">
        <v>22</v>
      </c>
      <c r="BH8" s="68">
        <v>0</v>
      </c>
      <c r="BI8" s="68">
        <v>2</v>
      </c>
      <c r="BJ8" s="68"/>
      <c r="BK8" s="68">
        <v>36</v>
      </c>
      <c r="BL8" s="68">
        <v>2</v>
      </c>
      <c r="BM8" s="68">
        <v>3</v>
      </c>
      <c r="BN8" s="68">
        <v>0</v>
      </c>
      <c r="BO8" s="68">
        <v>0</v>
      </c>
      <c r="BP8" s="68">
        <v>2</v>
      </c>
      <c r="BQ8" s="68"/>
      <c r="BR8" s="68">
        <v>1</v>
      </c>
      <c r="BS8" s="68"/>
      <c r="BT8" s="68">
        <v>0</v>
      </c>
      <c r="BU8" s="68">
        <v>0</v>
      </c>
      <c r="BV8" s="68">
        <v>30</v>
      </c>
      <c r="BW8" s="68">
        <v>2</v>
      </c>
      <c r="BX8" s="68">
        <v>0</v>
      </c>
      <c r="BY8" s="68">
        <v>0</v>
      </c>
      <c r="BZ8" s="68">
        <v>0</v>
      </c>
      <c r="CA8" s="68">
        <v>0</v>
      </c>
      <c r="CB8" s="68"/>
      <c r="CC8" s="68">
        <v>0</v>
      </c>
      <c r="CD8" s="68">
        <v>4</v>
      </c>
      <c r="CE8" s="68">
        <v>2</v>
      </c>
      <c r="CF8" s="68">
        <v>0</v>
      </c>
      <c r="CG8" s="68"/>
      <c r="CH8" s="68"/>
      <c r="CI8" s="68">
        <v>0</v>
      </c>
      <c r="CJ8" s="338">
        <v>163</v>
      </c>
    </row>
    <row r="9" spans="1:88" x14ac:dyDescent="0.25">
      <c r="A9" s="328" t="s">
        <v>669</v>
      </c>
      <c r="B9" s="68"/>
      <c r="C9" s="68">
        <v>0</v>
      </c>
      <c r="D9" s="68">
        <v>2</v>
      </c>
      <c r="E9" s="68">
        <v>1</v>
      </c>
      <c r="F9" s="68">
        <v>4</v>
      </c>
      <c r="G9" s="68">
        <v>6</v>
      </c>
      <c r="H9" s="68">
        <v>0</v>
      </c>
      <c r="I9" s="68"/>
      <c r="J9" s="68"/>
      <c r="K9" s="68">
        <v>3</v>
      </c>
      <c r="L9" s="68"/>
      <c r="M9" s="68"/>
      <c r="N9" s="68">
        <v>0</v>
      </c>
      <c r="O9" s="68">
        <v>0</v>
      </c>
      <c r="P9" s="68">
        <v>0</v>
      </c>
      <c r="Q9" s="68">
        <v>0</v>
      </c>
      <c r="R9" s="68">
        <v>0</v>
      </c>
      <c r="S9" s="68"/>
      <c r="T9" s="68">
        <v>3</v>
      </c>
      <c r="U9" s="68"/>
      <c r="V9" s="68">
        <v>0</v>
      </c>
      <c r="W9" s="68">
        <v>0</v>
      </c>
      <c r="X9" s="68">
        <v>2</v>
      </c>
      <c r="Y9" s="68">
        <v>0</v>
      </c>
      <c r="Z9" s="68"/>
      <c r="AA9" s="68">
        <v>16</v>
      </c>
      <c r="AB9" s="68">
        <v>2</v>
      </c>
      <c r="AC9" s="68">
        <v>2</v>
      </c>
      <c r="AD9" s="68">
        <v>2</v>
      </c>
      <c r="AE9" s="68">
        <v>0</v>
      </c>
      <c r="AF9" s="68">
        <v>3</v>
      </c>
      <c r="AG9" s="68">
        <v>0</v>
      </c>
      <c r="AH9" s="68">
        <v>2</v>
      </c>
      <c r="AI9" s="68">
        <v>0</v>
      </c>
      <c r="AJ9" s="68">
        <v>0</v>
      </c>
      <c r="AK9" s="68"/>
      <c r="AL9" s="68">
        <v>2</v>
      </c>
      <c r="AM9" s="68">
        <v>0</v>
      </c>
      <c r="AN9" s="68">
        <v>2</v>
      </c>
      <c r="AO9" s="68"/>
      <c r="AP9" s="68"/>
      <c r="AQ9" s="68"/>
      <c r="AR9" s="68">
        <v>30</v>
      </c>
      <c r="AS9" s="68">
        <v>8</v>
      </c>
      <c r="AT9" s="68"/>
      <c r="AU9" s="68">
        <v>3</v>
      </c>
      <c r="AV9" s="68">
        <v>2</v>
      </c>
      <c r="AW9" s="68"/>
      <c r="AX9" s="68"/>
      <c r="AY9" s="68">
        <v>0</v>
      </c>
      <c r="AZ9" s="68"/>
      <c r="BA9" s="68">
        <v>3</v>
      </c>
      <c r="BB9" s="68"/>
      <c r="BC9" s="68">
        <v>2</v>
      </c>
      <c r="BD9" s="68"/>
      <c r="BE9" s="68">
        <v>1</v>
      </c>
      <c r="BF9" s="68">
        <v>15</v>
      </c>
      <c r="BG9" s="68">
        <v>8</v>
      </c>
      <c r="BH9" s="68">
        <v>2</v>
      </c>
      <c r="BI9" s="68">
        <v>0</v>
      </c>
      <c r="BJ9" s="68"/>
      <c r="BK9" s="68">
        <v>27</v>
      </c>
      <c r="BL9" s="68">
        <v>10</v>
      </c>
      <c r="BM9" s="68">
        <v>2</v>
      </c>
      <c r="BN9" s="68">
        <v>0</v>
      </c>
      <c r="BO9" s="68">
        <v>0</v>
      </c>
      <c r="BP9" s="68">
        <v>4</v>
      </c>
      <c r="BQ9" s="68"/>
      <c r="BR9" s="68">
        <v>0</v>
      </c>
      <c r="BS9" s="68"/>
      <c r="BT9" s="68">
        <v>0</v>
      </c>
      <c r="BU9" s="68">
        <v>0</v>
      </c>
      <c r="BV9" s="68">
        <v>30</v>
      </c>
      <c r="BW9" s="68">
        <v>5</v>
      </c>
      <c r="BX9" s="68">
        <v>0</v>
      </c>
      <c r="BY9" s="68">
        <v>1</v>
      </c>
      <c r="BZ9" s="68">
        <v>0</v>
      </c>
      <c r="CA9" s="68">
        <v>1</v>
      </c>
      <c r="CB9" s="68"/>
      <c r="CC9" s="68">
        <v>0</v>
      </c>
      <c r="CD9" s="68">
        <v>1</v>
      </c>
      <c r="CE9" s="68">
        <v>2</v>
      </c>
      <c r="CF9" s="68">
        <v>0</v>
      </c>
      <c r="CG9" s="68"/>
      <c r="CH9" s="68"/>
      <c r="CI9" s="68">
        <v>7</v>
      </c>
      <c r="CJ9" s="338">
        <v>216</v>
      </c>
    </row>
    <row r="10" spans="1:88" x14ac:dyDescent="0.25">
      <c r="A10" s="328" t="s">
        <v>670</v>
      </c>
      <c r="B10" s="68"/>
      <c r="C10" s="68">
        <v>3</v>
      </c>
      <c r="D10" s="68">
        <v>0</v>
      </c>
      <c r="E10" s="68">
        <v>1</v>
      </c>
      <c r="F10" s="68">
        <v>2</v>
      </c>
      <c r="G10" s="68">
        <v>2</v>
      </c>
      <c r="H10" s="68">
        <v>0</v>
      </c>
      <c r="I10" s="68"/>
      <c r="J10" s="68">
        <v>1</v>
      </c>
      <c r="K10" s="68">
        <v>3</v>
      </c>
      <c r="L10" s="68"/>
      <c r="M10" s="68"/>
      <c r="N10" s="68">
        <v>0</v>
      </c>
      <c r="O10" s="68">
        <v>2</v>
      </c>
      <c r="P10" s="68">
        <v>0</v>
      </c>
      <c r="Q10" s="68">
        <v>0</v>
      </c>
      <c r="R10" s="68">
        <v>0</v>
      </c>
      <c r="S10" s="68"/>
      <c r="T10" s="68">
        <v>0</v>
      </c>
      <c r="U10" s="68"/>
      <c r="V10" s="68">
        <v>0</v>
      </c>
      <c r="W10" s="68">
        <v>0</v>
      </c>
      <c r="X10" s="68"/>
      <c r="Y10" s="68">
        <v>0</v>
      </c>
      <c r="Z10" s="68"/>
      <c r="AA10" s="68">
        <v>4</v>
      </c>
      <c r="AB10" s="68">
        <v>0</v>
      </c>
      <c r="AC10" s="68">
        <v>0</v>
      </c>
      <c r="AD10" s="68">
        <v>1</v>
      </c>
      <c r="AE10" s="68">
        <v>0</v>
      </c>
      <c r="AF10" s="68">
        <v>6</v>
      </c>
      <c r="AG10" s="68">
        <v>0</v>
      </c>
      <c r="AH10" s="68">
        <v>2</v>
      </c>
      <c r="AI10" s="68">
        <v>0</v>
      </c>
      <c r="AJ10" s="68">
        <v>0</v>
      </c>
      <c r="AK10" s="68"/>
      <c r="AL10" s="68">
        <v>0</v>
      </c>
      <c r="AM10" s="68">
        <v>0</v>
      </c>
      <c r="AN10" s="68">
        <v>0</v>
      </c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>
        <v>2</v>
      </c>
      <c r="AZ10" s="68"/>
      <c r="BA10" s="68">
        <v>2</v>
      </c>
      <c r="BB10" s="68"/>
      <c r="BC10" s="68">
        <v>2</v>
      </c>
      <c r="BD10" s="68"/>
      <c r="BE10" s="68">
        <v>1</v>
      </c>
      <c r="BF10" s="68">
        <v>13</v>
      </c>
      <c r="BG10" s="68">
        <v>8</v>
      </c>
      <c r="BH10" s="68">
        <v>0</v>
      </c>
      <c r="BI10" s="68">
        <v>2</v>
      </c>
      <c r="BJ10" s="68"/>
      <c r="BK10" s="68">
        <v>13</v>
      </c>
      <c r="BL10" s="68">
        <v>14</v>
      </c>
      <c r="BM10" s="68">
        <v>6</v>
      </c>
      <c r="BN10" s="68">
        <v>0</v>
      </c>
      <c r="BO10" s="68">
        <v>0</v>
      </c>
      <c r="BP10" s="68">
        <v>2</v>
      </c>
      <c r="BQ10" s="68"/>
      <c r="BR10" s="68">
        <v>1</v>
      </c>
      <c r="BS10" s="68"/>
      <c r="BT10" s="68">
        <v>0</v>
      </c>
      <c r="BU10" s="68">
        <v>0</v>
      </c>
      <c r="BV10" s="68">
        <v>30</v>
      </c>
      <c r="BW10" s="68">
        <v>0</v>
      </c>
      <c r="BX10" s="68">
        <v>0</v>
      </c>
      <c r="BY10" s="68">
        <v>0</v>
      </c>
      <c r="BZ10" s="68">
        <v>0</v>
      </c>
      <c r="CA10" s="68">
        <v>0</v>
      </c>
      <c r="CB10" s="68"/>
      <c r="CC10" s="68">
        <v>0</v>
      </c>
      <c r="CD10" s="68">
        <v>1</v>
      </c>
      <c r="CE10" s="68">
        <v>2</v>
      </c>
      <c r="CF10" s="68">
        <v>0</v>
      </c>
      <c r="CG10" s="68"/>
      <c r="CH10" s="68"/>
      <c r="CI10" s="68">
        <v>1</v>
      </c>
      <c r="CJ10" s="338">
        <v>127</v>
      </c>
    </row>
    <row r="11" spans="1:88" x14ac:dyDescent="0.25">
      <c r="A11" s="328" t="s">
        <v>671</v>
      </c>
      <c r="B11" s="68">
        <v>4</v>
      </c>
      <c r="C11" s="68">
        <v>4</v>
      </c>
      <c r="D11" s="68">
        <v>17</v>
      </c>
      <c r="E11" s="68">
        <v>13</v>
      </c>
      <c r="F11" s="68">
        <v>28</v>
      </c>
      <c r="G11" s="68">
        <v>90</v>
      </c>
      <c r="H11" s="68">
        <v>17</v>
      </c>
      <c r="I11" s="68"/>
      <c r="J11" s="68">
        <v>2</v>
      </c>
      <c r="K11" s="68">
        <v>33</v>
      </c>
      <c r="L11" s="68"/>
      <c r="M11" s="68">
        <v>3</v>
      </c>
      <c r="N11" s="68">
        <v>2</v>
      </c>
      <c r="O11" s="68">
        <v>1</v>
      </c>
      <c r="P11" s="68">
        <v>87</v>
      </c>
      <c r="Q11" s="68">
        <v>11</v>
      </c>
      <c r="R11" s="68">
        <v>1</v>
      </c>
      <c r="S11" s="68"/>
      <c r="T11" s="68">
        <v>1</v>
      </c>
      <c r="U11" s="68">
        <v>1</v>
      </c>
      <c r="V11" s="68">
        <v>52</v>
      </c>
      <c r="W11" s="68">
        <v>4</v>
      </c>
      <c r="X11" s="68">
        <v>2</v>
      </c>
      <c r="Y11" s="68">
        <v>9</v>
      </c>
      <c r="Z11" s="68"/>
      <c r="AA11" s="68">
        <v>25</v>
      </c>
      <c r="AB11" s="68">
        <v>2</v>
      </c>
      <c r="AC11" s="68">
        <v>6</v>
      </c>
      <c r="AD11" s="68">
        <v>39</v>
      </c>
      <c r="AE11" s="68">
        <v>0</v>
      </c>
      <c r="AF11" s="68">
        <v>67</v>
      </c>
      <c r="AG11" s="68">
        <v>1</v>
      </c>
      <c r="AH11" s="68"/>
      <c r="AI11" s="68">
        <v>3</v>
      </c>
      <c r="AJ11" s="68">
        <v>5</v>
      </c>
      <c r="AK11" s="68"/>
      <c r="AL11" s="68">
        <v>5</v>
      </c>
      <c r="AM11" s="68">
        <v>67</v>
      </c>
      <c r="AN11" s="68">
        <v>49</v>
      </c>
      <c r="AO11" s="68"/>
      <c r="AP11" s="68"/>
      <c r="AQ11" s="68">
        <v>10</v>
      </c>
      <c r="AR11" s="68">
        <v>30</v>
      </c>
      <c r="AS11" s="68">
        <v>5</v>
      </c>
      <c r="AT11" s="68">
        <v>10</v>
      </c>
      <c r="AU11" s="68">
        <v>1</v>
      </c>
      <c r="AV11" s="68">
        <v>6</v>
      </c>
      <c r="AW11" s="68">
        <v>2</v>
      </c>
      <c r="AX11" s="68"/>
      <c r="AY11" s="68">
        <v>1</v>
      </c>
      <c r="AZ11" s="68">
        <v>1</v>
      </c>
      <c r="BA11" s="68">
        <v>4</v>
      </c>
      <c r="BB11" s="68"/>
      <c r="BC11" s="68">
        <v>19</v>
      </c>
      <c r="BD11" s="68">
        <v>11</v>
      </c>
      <c r="BE11" s="68">
        <v>21</v>
      </c>
      <c r="BF11" s="68">
        <v>476</v>
      </c>
      <c r="BG11" s="68">
        <v>25</v>
      </c>
      <c r="BH11" s="68">
        <v>4</v>
      </c>
      <c r="BI11" s="68">
        <v>9</v>
      </c>
      <c r="BJ11" s="68"/>
      <c r="BK11" s="68">
        <v>84</v>
      </c>
      <c r="BL11" s="68">
        <v>35</v>
      </c>
      <c r="BM11" s="68">
        <v>18</v>
      </c>
      <c r="BN11" s="68">
        <v>2</v>
      </c>
      <c r="BO11" s="68">
        <v>11</v>
      </c>
      <c r="BP11" s="68">
        <v>25</v>
      </c>
      <c r="BQ11" s="68"/>
      <c r="BR11" s="68">
        <v>14</v>
      </c>
      <c r="BS11" s="68"/>
      <c r="BT11" s="68">
        <v>10</v>
      </c>
      <c r="BU11" s="68">
        <v>0</v>
      </c>
      <c r="BV11" s="68">
        <v>429</v>
      </c>
      <c r="BW11" s="68">
        <v>27</v>
      </c>
      <c r="BX11" s="68">
        <v>22</v>
      </c>
      <c r="BY11" s="68">
        <v>7</v>
      </c>
      <c r="BZ11" s="68">
        <v>2</v>
      </c>
      <c r="CA11" s="68">
        <v>5</v>
      </c>
      <c r="CB11" s="68"/>
      <c r="CC11" s="68">
        <v>4</v>
      </c>
      <c r="CD11" s="68">
        <v>36</v>
      </c>
      <c r="CE11" s="68">
        <v>11</v>
      </c>
      <c r="CF11" s="68">
        <v>55</v>
      </c>
      <c r="CG11" s="68"/>
      <c r="CH11" s="68"/>
      <c r="CI11" s="68">
        <v>107</v>
      </c>
      <c r="CJ11" s="338">
        <v>2190</v>
      </c>
    </row>
    <row r="12" spans="1:88" x14ac:dyDescent="0.25">
      <c r="A12" s="328" t="s">
        <v>672</v>
      </c>
      <c r="B12" s="68"/>
      <c r="C12" s="68">
        <v>4</v>
      </c>
      <c r="D12" s="68">
        <v>17</v>
      </c>
      <c r="E12" s="68">
        <v>12</v>
      </c>
      <c r="F12" s="68">
        <v>18</v>
      </c>
      <c r="G12" s="68">
        <v>94</v>
      </c>
      <c r="H12" s="68">
        <v>12</v>
      </c>
      <c r="I12" s="68">
        <v>2</v>
      </c>
      <c r="J12" s="68">
        <v>1</v>
      </c>
      <c r="K12" s="68">
        <v>29</v>
      </c>
      <c r="L12" s="68"/>
      <c r="M12" s="68">
        <v>3</v>
      </c>
      <c r="N12" s="68">
        <v>0</v>
      </c>
      <c r="O12" s="68">
        <v>0</v>
      </c>
      <c r="P12" s="68">
        <v>10</v>
      </c>
      <c r="Q12" s="68">
        <v>2</v>
      </c>
      <c r="R12" s="68">
        <v>0</v>
      </c>
      <c r="S12" s="68">
        <v>1</v>
      </c>
      <c r="T12" s="68">
        <v>0</v>
      </c>
      <c r="U12" s="68">
        <v>1</v>
      </c>
      <c r="V12" s="68">
        <v>24</v>
      </c>
      <c r="W12" s="68">
        <v>2</v>
      </c>
      <c r="X12" s="68"/>
      <c r="Y12" s="68">
        <v>7</v>
      </c>
      <c r="Z12" s="68"/>
      <c r="AA12" s="68">
        <v>17</v>
      </c>
      <c r="AB12" s="68">
        <v>2</v>
      </c>
      <c r="AC12" s="68">
        <v>1</v>
      </c>
      <c r="AD12" s="68">
        <v>10</v>
      </c>
      <c r="AE12" s="68">
        <v>0</v>
      </c>
      <c r="AF12" s="68">
        <v>43</v>
      </c>
      <c r="AG12" s="68">
        <v>1</v>
      </c>
      <c r="AH12" s="68"/>
      <c r="AI12" s="68">
        <v>2</v>
      </c>
      <c r="AJ12" s="68">
        <v>15</v>
      </c>
      <c r="AK12" s="68"/>
      <c r="AL12" s="68">
        <v>1</v>
      </c>
      <c r="AM12" s="68">
        <v>2</v>
      </c>
      <c r="AN12" s="68">
        <v>27</v>
      </c>
      <c r="AO12" s="68">
        <v>3</v>
      </c>
      <c r="AP12" s="68"/>
      <c r="AQ12" s="68">
        <v>5</v>
      </c>
      <c r="AR12" s="68">
        <v>30</v>
      </c>
      <c r="AS12" s="68">
        <v>5</v>
      </c>
      <c r="AT12" s="68"/>
      <c r="AU12" s="68"/>
      <c r="AV12" s="68">
        <v>6</v>
      </c>
      <c r="AW12" s="68">
        <v>2</v>
      </c>
      <c r="AX12" s="68"/>
      <c r="AY12" s="68">
        <v>1</v>
      </c>
      <c r="AZ12" s="68">
        <v>1</v>
      </c>
      <c r="BA12" s="68">
        <v>6</v>
      </c>
      <c r="BB12" s="68"/>
      <c r="BC12" s="68">
        <v>7</v>
      </c>
      <c r="BD12" s="68">
        <v>4</v>
      </c>
      <c r="BE12" s="68">
        <v>9</v>
      </c>
      <c r="BF12" s="68">
        <v>195</v>
      </c>
      <c r="BG12" s="68">
        <v>6</v>
      </c>
      <c r="BH12" s="68">
        <v>4</v>
      </c>
      <c r="BI12" s="68">
        <v>3</v>
      </c>
      <c r="BJ12" s="68"/>
      <c r="BK12" s="68">
        <v>47</v>
      </c>
      <c r="BL12" s="68">
        <v>17</v>
      </c>
      <c r="BM12" s="68">
        <v>12</v>
      </c>
      <c r="BN12" s="68">
        <v>3</v>
      </c>
      <c r="BO12" s="68">
        <v>6</v>
      </c>
      <c r="BP12" s="68">
        <v>15</v>
      </c>
      <c r="BQ12" s="68"/>
      <c r="BR12" s="68">
        <v>2</v>
      </c>
      <c r="BS12" s="68"/>
      <c r="BT12" s="68">
        <v>5</v>
      </c>
      <c r="BU12" s="68">
        <v>0</v>
      </c>
      <c r="BV12" s="68">
        <v>85</v>
      </c>
      <c r="BW12" s="68">
        <v>15</v>
      </c>
      <c r="BX12" s="68">
        <v>11</v>
      </c>
      <c r="BY12" s="68">
        <v>3</v>
      </c>
      <c r="BZ12" s="68">
        <v>2</v>
      </c>
      <c r="CA12" s="68">
        <v>2</v>
      </c>
      <c r="CB12" s="68"/>
      <c r="CC12" s="68">
        <v>0</v>
      </c>
      <c r="CD12" s="68">
        <v>5</v>
      </c>
      <c r="CE12" s="68">
        <v>19</v>
      </c>
      <c r="CF12" s="68">
        <v>5</v>
      </c>
      <c r="CG12" s="68"/>
      <c r="CH12" s="68"/>
      <c r="CI12" s="68">
        <v>31</v>
      </c>
      <c r="CJ12" s="338">
        <v>932</v>
      </c>
    </row>
    <row r="13" spans="1:88" x14ac:dyDescent="0.25">
      <c r="A13" s="328" t="s">
        <v>673</v>
      </c>
      <c r="B13" s="68"/>
      <c r="C13" s="68">
        <v>0</v>
      </c>
      <c r="D13" s="68">
        <v>1</v>
      </c>
      <c r="E13" s="68">
        <v>2</v>
      </c>
      <c r="F13" s="68">
        <v>23</v>
      </c>
      <c r="G13" s="68">
        <v>36</v>
      </c>
      <c r="H13" s="68">
        <v>38</v>
      </c>
      <c r="I13" s="68"/>
      <c r="J13" s="68">
        <v>1</v>
      </c>
      <c r="K13" s="68">
        <v>42</v>
      </c>
      <c r="L13" s="68"/>
      <c r="M13" s="68">
        <v>2</v>
      </c>
      <c r="N13" s="68">
        <v>0</v>
      </c>
      <c r="O13" s="68">
        <v>0</v>
      </c>
      <c r="P13" s="68">
        <v>1</v>
      </c>
      <c r="Q13" s="68">
        <v>0</v>
      </c>
      <c r="R13" s="68">
        <v>0</v>
      </c>
      <c r="S13" s="68">
        <v>1</v>
      </c>
      <c r="T13" s="68">
        <v>0</v>
      </c>
      <c r="U13" s="68">
        <v>1</v>
      </c>
      <c r="V13" s="68">
        <v>1</v>
      </c>
      <c r="W13" s="68">
        <v>1</v>
      </c>
      <c r="X13" s="68"/>
      <c r="Y13" s="68">
        <v>2</v>
      </c>
      <c r="Z13" s="68"/>
      <c r="AA13" s="68">
        <v>22</v>
      </c>
      <c r="AB13" s="68">
        <v>0</v>
      </c>
      <c r="AC13" s="68">
        <v>8</v>
      </c>
      <c r="AD13" s="68">
        <v>9</v>
      </c>
      <c r="AE13" s="68">
        <v>0</v>
      </c>
      <c r="AF13" s="68">
        <v>10</v>
      </c>
      <c r="AG13" s="68">
        <v>0</v>
      </c>
      <c r="AH13" s="68">
        <v>2</v>
      </c>
      <c r="AI13" s="68">
        <v>1</v>
      </c>
      <c r="AJ13" s="68">
        <v>1</v>
      </c>
      <c r="AK13" s="68"/>
      <c r="AL13" s="68">
        <v>0</v>
      </c>
      <c r="AM13" s="68">
        <v>1</v>
      </c>
      <c r="AN13" s="68">
        <v>1</v>
      </c>
      <c r="AO13" s="68">
        <v>3</v>
      </c>
      <c r="AP13" s="68"/>
      <c r="AQ13" s="68"/>
      <c r="AR13" s="68">
        <v>30</v>
      </c>
      <c r="AS13" s="68"/>
      <c r="AT13" s="68">
        <v>10</v>
      </c>
      <c r="AU13" s="68"/>
      <c r="AV13" s="68"/>
      <c r="AW13" s="68">
        <v>3</v>
      </c>
      <c r="AX13" s="68">
        <v>2</v>
      </c>
      <c r="AY13" s="68">
        <v>0</v>
      </c>
      <c r="AZ13" s="68">
        <v>1</v>
      </c>
      <c r="BA13" s="68">
        <v>2</v>
      </c>
      <c r="BB13" s="68"/>
      <c r="BC13" s="68">
        <v>15</v>
      </c>
      <c r="BD13" s="68">
        <v>2</v>
      </c>
      <c r="BE13" s="68">
        <v>14</v>
      </c>
      <c r="BF13" s="68">
        <v>33</v>
      </c>
      <c r="BG13" s="68">
        <v>10</v>
      </c>
      <c r="BH13" s="68">
        <v>1</v>
      </c>
      <c r="BI13" s="68">
        <v>2</v>
      </c>
      <c r="BJ13" s="68"/>
      <c r="BK13" s="68">
        <v>21</v>
      </c>
      <c r="BL13" s="68">
        <v>11</v>
      </c>
      <c r="BM13" s="68">
        <v>18</v>
      </c>
      <c r="BN13" s="68">
        <v>2</v>
      </c>
      <c r="BO13" s="68">
        <v>20</v>
      </c>
      <c r="BP13" s="68">
        <v>19</v>
      </c>
      <c r="BQ13" s="68"/>
      <c r="BR13" s="68">
        <v>6</v>
      </c>
      <c r="BS13" s="68"/>
      <c r="BT13" s="68">
        <v>1</v>
      </c>
      <c r="BU13" s="68">
        <v>0</v>
      </c>
      <c r="BV13" s="68">
        <v>11</v>
      </c>
      <c r="BW13" s="68">
        <v>3</v>
      </c>
      <c r="BX13" s="68">
        <v>1</v>
      </c>
      <c r="BY13" s="68">
        <v>4</v>
      </c>
      <c r="BZ13" s="68">
        <v>0</v>
      </c>
      <c r="CA13" s="68">
        <v>7</v>
      </c>
      <c r="CB13" s="68"/>
      <c r="CC13" s="68">
        <v>2</v>
      </c>
      <c r="CD13" s="68">
        <v>5</v>
      </c>
      <c r="CE13" s="68">
        <v>2</v>
      </c>
      <c r="CF13" s="68">
        <v>2</v>
      </c>
      <c r="CG13" s="68"/>
      <c r="CH13" s="68"/>
      <c r="CI13" s="68">
        <v>5</v>
      </c>
      <c r="CJ13" s="338">
        <v>475</v>
      </c>
    </row>
    <row r="14" spans="1:88" x14ac:dyDescent="0.25">
      <c r="A14" s="328" t="s">
        <v>674</v>
      </c>
      <c r="B14" s="68"/>
      <c r="C14" s="68">
        <v>1</v>
      </c>
      <c r="D14" s="68">
        <v>0</v>
      </c>
      <c r="E14" s="68">
        <v>1</v>
      </c>
      <c r="F14" s="68">
        <v>11</v>
      </c>
      <c r="G14" s="68">
        <v>18</v>
      </c>
      <c r="H14" s="68">
        <v>0</v>
      </c>
      <c r="I14" s="68"/>
      <c r="J14" s="68"/>
      <c r="K14" s="68">
        <v>7</v>
      </c>
      <c r="L14" s="68"/>
      <c r="M14" s="68"/>
      <c r="N14" s="68">
        <v>0</v>
      </c>
      <c r="O14" s="68">
        <v>0</v>
      </c>
      <c r="P14" s="68">
        <v>0</v>
      </c>
      <c r="Q14" s="68">
        <v>0</v>
      </c>
      <c r="R14" s="68">
        <v>0</v>
      </c>
      <c r="S14" s="68"/>
      <c r="T14" s="68">
        <v>0</v>
      </c>
      <c r="U14" s="68"/>
      <c r="V14" s="68">
        <v>0</v>
      </c>
      <c r="W14" s="68">
        <v>0</v>
      </c>
      <c r="X14" s="68">
        <v>2</v>
      </c>
      <c r="Y14" s="68">
        <v>0</v>
      </c>
      <c r="Z14" s="68"/>
      <c r="AA14" s="68">
        <v>12</v>
      </c>
      <c r="AB14" s="68">
        <v>0</v>
      </c>
      <c r="AC14" s="68">
        <v>1</v>
      </c>
      <c r="AD14" s="68">
        <v>0</v>
      </c>
      <c r="AE14" s="68">
        <v>0</v>
      </c>
      <c r="AF14" s="68">
        <v>12</v>
      </c>
      <c r="AG14" s="68">
        <v>0</v>
      </c>
      <c r="AH14" s="68"/>
      <c r="AI14" s="68">
        <v>0</v>
      </c>
      <c r="AJ14" s="68">
        <v>12</v>
      </c>
      <c r="AK14" s="68"/>
      <c r="AL14" s="68">
        <v>0</v>
      </c>
      <c r="AM14" s="68">
        <v>0</v>
      </c>
      <c r="AN14" s="68">
        <v>12</v>
      </c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>
        <v>0</v>
      </c>
      <c r="AZ14" s="68"/>
      <c r="BA14" s="68">
        <v>0</v>
      </c>
      <c r="BB14" s="68"/>
      <c r="BC14" s="68">
        <v>0</v>
      </c>
      <c r="BD14" s="68"/>
      <c r="BE14" s="68">
        <v>0</v>
      </c>
      <c r="BF14" s="68">
        <v>13</v>
      </c>
      <c r="BG14" s="68">
        <v>4</v>
      </c>
      <c r="BH14" s="68">
        <v>0</v>
      </c>
      <c r="BI14" s="68">
        <v>0</v>
      </c>
      <c r="BJ14" s="68"/>
      <c r="BK14" s="68">
        <v>12</v>
      </c>
      <c r="BL14" s="68">
        <v>0</v>
      </c>
      <c r="BM14" s="68"/>
      <c r="BN14" s="68">
        <v>0</v>
      </c>
      <c r="BO14" s="68">
        <v>0</v>
      </c>
      <c r="BP14" s="68">
        <v>0</v>
      </c>
      <c r="BQ14" s="68"/>
      <c r="BR14" s="68">
        <v>5</v>
      </c>
      <c r="BS14" s="68"/>
      <c r="BT14" s="68">
        <v>0</v>
      </c>
      <c r="BU14" s="68">
        <v>0</v>
      </c>
      <c r="BV14" s="68">
        <v>60</v>
      </c>
      <c r="BW14" s="68">
        <v>0</v>
      </c>
      <c r="BX14" s="68">
        <v>0</v>
      </c>
      <c r="BY14" s="68">
        <v>0</v>
      </c>
      <c r="BZ14" s="68">
        <v>0</v>
      </c>
      <c r="CA14" s="68">
        <v>0</v>
      </c>
      <c r="CB14" s="68"/>
      <c r="CC14" s="68">
        <v>0</v>
      </c>
      <c r="CD14" s="68">
        <v>0</v>
      </c>
      <c r="CE14" s="68">
        <v>0</v>
      </c>
      <c r="CF14" s="68">
        <v>0</v>
      </c>
      <c r="CG14" s="68"/>
      <c r="CH14" s="68"/>
      <c r="CI14" s="68">
        <v>2</v>
      </c>
      <c r="CJ14" s="338">
        <v>185</v>
      </c>
    </row>
    <row r="15" spans="1:88" x14ac:dyDescent="0.25">
      <c r="A15" s="328" t="s">
        <v>675</v>
      </c>
      <c r="B15" s="68">
        <v>4</v>
      </c>
      <c r="C15" s="68">
        <v>0</v>
      </c>
      <c r="D15" s="68">
        <v>1</v>
      </c>
      <c r="E15" s="68">
        <v>4</v>
      </c>
      <c r="F15" s="68">
        <v>27</v>
      </c>
      <c r="G15" s="68">
        <v>48</v>
      </c>
      <c r="H15" s="68">
        <v>43</v>
      </c>
      <c r="I15" s="68"/>
      <c r="J15" s="68">
        <v>2</v>
      </c>
      <c r="K15" s="68">
        <v>16</v>
      </c>
      <c r="L15" s="68"/>
      <c r="M15" s="68">
        <v>3</v>
      </c>
      <c r="N15" s="68">
        <v>0</v>
      </c>
      <c r="O15" s="68">
        <v>2</v>
      </c>
      <c r="P15" s="68">
        <v>4</v>
      </c>
      <c r="Q15" s="68">
        <v>10</v>
      </c>
      <c r="R15" s="68">
        <v>0</v>
      </c>
      <c r="S15" s="68"/>
      <c r="T15" s="68">
        <v>2</v>
      </c>
      <c r="U15" s="68">
        <v>1</v>
      </c>
      <c r="V15" s="68">
        <v>5</v>
      </c>
      <c r="W15" s="68">
        <v>4</v>
      </c>
      <c r="X15" s="68"/>
      <c r="Y15" s="68">
        <v>8</v>
      </c>
      <c r="Z15" s="68"/>
      <c r="AA15" s="68">
        <v>4</v>
      </c>
      <c r="AB15" s="68">
        <v>2</v>
      </c>
      <c r="AC15" s="68">
        <v>1</v>
      </c>
      <c r="AD15" s="68">
        <v>6</v>
      </c>
      <c r="AE15" s="68">
        <v>0</v>
      </c>
      <c r="AF15" s="68">
        <v>32</v>
      </c>
      <c r="AG15" s="68">
        <v>1</v>
      </c>
      <c r="AH15" s="68"/>
      <c r="AI15" s="68">
        <v>4</v>
      </c>
      <c r="AJ15" s="68">
        <v>4</v>
      </c>
      <c r="AK15" s="68"/>
      <c r="AL15" s="68">
        <v>3</v>
      </c>
      <c r="AM15" s="68">
        <v>40</v>
      </c>
      <c r="AN15" s="68">
        <v>17</v>
      </c>
      <c r="AO15" s="68">
        <v>3</v>
      </c>
      <c r="AP15" s="68">
        <v>8</v>
      </c>
      <c r="AQ15" s="68"/>
      <c r="AR15" s="68">
        <v>30</v>
      </c>
      <c r="AS15" s="68">
        <v>1</v>
      </c>
      <c r="AT15" s="68">
        <v>16</v>
      </c>
      <c r="AU15" s="68"/>
      <c r="AV15" s="68">
        <v>2</v>
      </c>
      <c r="AW15" s="68">
        <v>2</v>
      </c>
      <c r="AX15" s="68">
        <v>2</v>
      </c>
      <c r="AY15" s="68">
        <v>1</v>
      </c>
      <c r="AZ15" s="68">
        <v>1</v>
      </c>
      <c r="BA15" s="68">
        <v>13</v>
      </c>
      <c r="BB15" s="68"/>
      <c r="BC15" s="68">
        <v>10</v>
      </c>
      <c r="BD15" s="68">
        <v>5</v>
      </c>
      <c r="BE15" s="68">
        <v>24</v>
      </c>
      <c r="BF15" s="68">
        <v>87</v>
      </c>
      <c r="BG15" s="68">
        <v>25</v>
      </c>
      <c r="BH15" s="68">
        <v>3</v>
      </c>
      <c r="BI15" s="68">
        <v>2</v>
      </c>
      <c r="BJ15" s="68"/>
      <c r="BK15" s="68">
        <v>47</v>
      </c>
      <c r="BL15" s="68">
        <v>16</v>
      </c>
      <c r="BM15" s="68">
        <v>4</v>
      </c>
      <c r="BN15" s="68">
        <v>4</v>
      </c>
      <c r="BO15" s="68">
        <v>6</v>
      </c>
      <c r="BP15" s="68">
        <v>17</v>
      </c>
      <c r="BQ15" s="68"/>
      <c r="BR15" s="68">
        <v>13</v>
      </c>
      <c r="BS15" s="68"/>
      <c r="BT15" s="68">
        <v>8</v>
      </c>
      <c r="BU15" s="68">
        <v>0</v>
      </c>
      <c r="BV15" s="68">
        <v>106</v>
      </c>
      <c r="BW15" s="68">
        <v>14</v>
      </c>
      <c r="BX15" s="68">
        <v>16</v>
      </c>
      <c r="BY15" s="68">
        <v>3</v>
      </c>
      <c r="BZ15" s="68">
        <v>0</v>
      </c>
      <c r="CA15" s="68">
        <v>1</v>
      </c>
      <c r="CB15" s="68"/>
      <c r="CC15" s="68">
        <v>4</v>
      </c>
      <c r="CD15" s="68">
        <v>6</v>
      </c>
      <c r="CE15" s="68">
        <v>5</v>
      </c>
      <c r="CF15" s="68">
        <v>9</v>
      </c>
      <c r="CG15" s="68"/>
      <c r="CH15" s="68"/>
      <c r="CI15" s="68">
        <v>10</v>
      </c>
      <c r="CJ15" s="338">
        <v>822</v>
      </c>
    </row>
    <row r="16" spans="1:88" x14ac:dyDescent="0.25">
      <c r="A16" s="328" t="s">
        <v>676</v>
      </c>
      <c r="B16" s="68">
        <v>4</v>
      </c>
      <c r="C16" s="68">
        <v>0</v>
      </c>
      <c r="D16" s="68">
        <v>7</v>
      </c>
      <c r="E16" s="68">
        <v>2</v>
      </c>
      <c r="F16" s="68">
        <v>22</v>
      </c>
      <c r="G16" s="68">
        <v>41</v>
      </c>
      <c r="H16" s="68">
        <v>41</v>
      </c>
      <c r="I16" s="68"/>
      <c r="J16" s="68">
        <v>2</v>
      </c>
      <c r="K16" s="68">
        <v>39</v>
      </c>
      <c r="L16" s="68">
        <v>9</v>
      </c>
      <c r="M16" s="68">
        <v>2</v>
      </c>
      <c r="N16" s="68">
        <v>0</v>
      </c>
      <c r="O16" s="68">
        <v>0</v>
      </c>
      <c r="P16" s="68">
        <v>13</v>
      </c>
      <c r="Q16" s="68">
        <v>3</v>
      </c>
      <c r="R16" s="68">
        <v>0</v>
      </c>
      <c r="S16" s="68"/>
      <c r="T16" s="68">
        <v>2</v>
      </c>
      <c r="U16" s="68">
        <v>1</v>
      </c>
      <c r="V16" s="68">
        <v>28</v>
      </c>
      <c r="W16" s="68">
        <v>1</v>
      </c>
      <c r="X16" s="68">
        <v>2</v>
      </c>
      <c r="Y16" s="68">
        <v>10</v>
      </c>
      <c r="Z16" s="68"/>
      <c r="AA16" s="68">
        <v>26</v>
      </c>
      <c r="AB16" s="68">
        <v>0</v>
      </c>
      <c r="AC16" s="68">
        <v>0</v>
      </c>
      <c r="AD16" s="68">
        <v>9</v>
      </c>
      <c r="AE16" s="68">
        <v>0</v>
      </c>
      <c r="AF16" s="68">
        <v>49</v>
      </c>
      <c r="AG16" s="68">
        <v>1</v>
      </c>
      <c r="AH16" s="68"/>
      <c r="AI16" s="68">
        <v>1</v>
      </c>
      <c r="AJ16" s="68">
        <v>25</v>
      </c>
      <c r="AK16" s="68"/>
      <c r="AL16" s="68">
        <v>2</v>
      </c>
      <c r="AM16" s="68">
        <v>3</v>
      </c>
      <c r="AN16" s="68">
        <v>42</v>
      </c>
      <c r="AO16" s="68">
        <v>1</v>
      </c>
      <c r="AP16" s="68">
        <v>8</v>
      </c>
      <c r="AQ16" s="68"/>
      <c r="AR16" s="68">
        <v>30</v>
      </c>
      <c r="AS16" s="68"/>
      <c r="AT16" s="68">
        <v>12</v>
      </c>
      <c r="AU16" s="68"/>
      <c r="AV16" s="68">
        <v>2</v>
      </c>
      <c r="AW16" s="68">
        <v>4</v>
      </c>
      <c r="AX16" s="68"/>
      <c r="AY16" s="68">
        <v>4</v>
      </c>
      <c r="AZ16" s="68">
        <v>1</v>
      </c>
      <c r="BA16" s="68">
        <v>9</v>
      </c>
      <c r="BB16" s="68"/>
      <c r="BC16" s="68">
        <v>16</v>
      </c>
      <c r="BD16" s="68">
        <v>5</v>
      </c>
      <c r="BE16" s="68">
        <v>17</v>
      </c>
      <c r="BF16" s="68">
        <v>138</v>
      </c>
      <c r="BG16" s="68">
        <v>39</v>
      </c>
      <c r="BH16" s="68">
        <v>1</v>
      </c>
      <c r="BI16" s="68">
        <v>14</v>
      </c>
      <c r="BJ16" s="68"/>
      <c r="BK16" s="68">
        <v>63</v>
      </c>
      <c r="BL16" s="68">
        <v>21</v>
      </c>
      <c r="BM16" s="68">
        <v>1</v>
      </c>
      <c r="BN16" s="68">
        <v>1</v>
      </c>
      <c r="BO16" s="68">
        <v>6</v>
      </c>
      <c r="BP16" s="68">
        <v>24</v>
      </c>
      <c r="BQ16" s="68">
        <v>2</v>
      </c>
      <c r="BR16" s="68">
        <v>10</v>
      </c>
      <c r="BS16" s="68"/>
      <c r="BT16" s="68">
        <v>1</v>
      </c>
      <c r="BU16" s="68">
        <v>0</v>
      </c>
      <c r="BV16" s="68">
        <v>114</v>
      </c>
      <c r="BW16" s="68">
        <v>18</v>
      </c>
      <c r="BX16" s="68">
        <v>11</v>
      </c>
      <c r="BY16" s="68">
        <v>2</v>
      </c>
      <c r="BZ16" s="68">
        <v>1</v>
      </c>
      <c r="CA16" s="68">
        <v>1</v>
      </c>
      <c r="CB16" s="68"/>
      <c r="CC16" s="68">
        <v>8</v>
      </c>
      <c r="CD16" s="68">
        <v>5</v>
      </c>
      <c r="CE16" s="68">
        <v>7</v>
      </c>
      <c r="CF16" s="68">
        <v>7</v>
      </c>
      <c r="CG16" s="68"/>
      <c r="CH16" s="68">
        <v>2</v>
      </c>
      <c r="CI16" s="68">
        <v>51</v>
      </c>
      <c r="CJ16" s="338">
        <v>1044</v>
      </c>
    </row>
    <row r="17" spans="1:88" x14ac:dyDescent="0.25">
      <c r="A17" s="328" t="s">
        <v>677</v>
      </c>
      <c r="B17" s="68">
        <v>4</v>
      </c>
      <c r="C17" s="68">
        <v>0</v>
      </c>
      <c r="D17" s="68">
        <v>8</v>
      </c>
      <c r="E17" s="68">
        <v>1</v>
      </c>
      <c r="F17" s="68">
        <v>19</v>
      </c>
      <c r="G17" s="68">
        <v>29</v>
      </c>
      <c r="H17" s="68">
        <v>28</v>
      </c>
      <c r="I17" s="68"/>
      <c r="J17" s="68">
        <v>2</v>
      </c>
      <c r="K17" s="68">
        <v>18</v>
      </c>
      <c r="L17" s="68"/>
      <c r="M17" s="68"/>
      <c r="N17" s="68">
        <v>0</v>
      </c>
      <c r="O17" s="68">
        <v>1</v>
      </c>
      <c r="P17" s="68">
        <v>0</v>
      </c>
      <c r="Q17" s="68">
        <v>8</v>
      </c>
      <c r="R17" s="68">
        <v>0</v>
      </c>
      <c r="S17" s="68"/>
      <c r="T17" s="68">
        <v>1</v>
      </c>
      <c r="U17" s="68"/>
      <c r="V17" s="68">
        <v>0</v>
      </c>
      <c r="W17" s="68">
        <v>0</v>
      </c>
      <c r="X17" s="68">
        <v>2</v>
      </c>
      <c r="Y17" s="68">
        <v>4</v>
      </c>
      <c r="Z17" s="68"/>
      <c r="AA17" s="68">
        <v>14</v>
      </c>
      <c r="AB17" s="68">
        <v>0</v>
      </c>
      <c r="AC17" s="68">
        <v>2</v>
      </c>
      <c r="AD17" s="68">
        <v>1</v>
      </c>
      <c r="AE17" s="68">
        <v>0</v>
      </c>
      <c r="AF17" s="68">
        <v>15</v>
      </c>
      <c r="AG17" s="68">
        <v>0</v>
      </c>
      <c r="AH17" s="68">
        <v>2</v>
      </c>
      <c r="AI17" s="68">
        <v>3</v>
      </c>
      <c r="AJ17" s="68">
        <v>6</v>
      </c>
      <c r="AK17" s="68"/>
      <c r="AL17" s="68">
        <v>2</v>
      </c>
      <c r="AM17" s="68">
        <v>2</v>
      </c>
      <c r="AN17" s="68">
        <v>6</v>
      </c>
      <c r="AO17" s="68"/>
      <c r="AP17" s="68">
        <v>8</v>
      </c>
      <c r="AQ17" s="68">
        <v>2</v>
      </c>
      <c r="AR17" s="68"/>
      <c r="AS17" s="68">
        <v>2</v>
      </c>
      <c r="AT17" s="68">
        <v>12</v>
      </c>
      <c r="AU17" s="68"/>
      <c r="AV17" s="68">
        <v>2</v>
      </c>
      <c r="AW17" s="68"/>
      <c r="AX17" s="68">
        <v>2</v>
      </c>
      <c r="AY17" s="68">
        <v>0</v>
      </c>
      <c r="AZ17" s="68"/>
      <c r="BA17" s="68">
        <v>11</v>
      </c>
      <c r="BB17" s="68"/>
      <c r="BC17" s="68">
        <v>13</v>
      </c>
      <c r="BD17" s="68">
        <v>8</v>
      </c>
      <c r="BE17" s="68">
        <v>3</v>
      </c>
      <c r="BF17" s="68">
        <v>96</v>
      </c>
      <c r="BG17" s="68">
        <v>54</v>
      </c>
      <c r="BH17" s="68">
        <v>3</v>
      </c>
      <c r="BI17" s="68">
        <v>7</v>
      </c>
      <c r="BJ17" s="68"/>
      <c r="BK17" s="68">
        <v>16</v>
      </c>
      <c r="BL17" s="68">
        <v>14</v>
      </c>
      <c r="BM17" s="68">
        <v>4</v>
      </c>
      <c r="BN17" s="68">
        <v>0</v>
      </c>
      <c r="BO17" s="68">
        <v>6</v>
      </c>
      <c r="BP17" s="68">
        <v>34</v>
      </c>
      <c r="BQ17" s="68"/>
      <c r="BR17" s="68">
        <v>3</v>
      </c>
      <c r="BS17" s="68">
        <v>2</v>
      </c>
      <c r="BT17" s="68">
        <v>1</v>
      </c>
      <c r="BU17" s="68">
        <v>0</v>
      </c>
      <c r="BV17" s="68">
        <v>21</v>
      </c>
      <c r="BW17" s="68">
        <v>2</v>
      </c>
      <c r="BX17" s="68">
        <v>1</v>
      </c>
      <c r="BY17" s="68">
        <v>0</v>
      </c>
      <c r="BZ17" s="68">
        <v>1</v>
      </c>
      <c r="CA17" s="68">
        <v>0</v>
      </c>
      <c r="CB17" s="68"/>
      <c r="CC17" s="68">
        <v>6</v>
      </c>
      <c r="CD17" s="68">
        <v>14</v>
      </c>
      <c r="CE17" s="68">
        <v>4</v>
      </c>
      <c r="CF17" s="68">
        <v>5</v>
      </c>
      <c r="CG17" s="68">
        <v>2</v>
      </c>
      <c r="CH17" s="68"/>
      <c r="CI17" s="68">
        <v>10</v>
      </c>
      <c r="CJ17" s="338">
        <v>547</v>
      </c>
    </row>
    <row r="18" spans="1:88" x14ac:dyDescent="0.25">
      <c r="A18" s="328" t="s">
        <v>678</v>
      </c>
      <c r="B18" s="68">
        <v>4</v>
      </c>
      <c r="C18" s="68">
        <v>0</v>
      </c>
      <c r="D18" s="68">
        <v>8</v>
      </c>
      <c r="E18" s="68">
        <v>3</v>
      </c>
      <c r="F18" s="68">
        <v>29</v>
      </c>
      <c r="G18" s="68">
        <v>67</v>
      </c>
      <c r="H18" s="68">
        <v>36</v>
      </c>
      <c r="I18" s="68"/>
      <c r="J18" s="68"/>
      <c r="K18" s="68">
        <v>41</v>
      </c>
      <c r="L18" s="68">
        <v>7</v>
      </c>
      <c r="M18" s="68">
        <v>2</v>
      </c>
      <c r="N18" s="68">
        <v>0</v>
      </c>
      <c r="O18" s="68">
        <v>0</v>
      </c>
      <c r="P18" s="68">
        <v>117</v>
      </c>
      <c r="Q18" s="68">
        <v>5</v>
      </c>
      <c r="R18" s="68">
        <v>0</v>
      </c>
      <c r="S18" s="68">
        <v>1</v>
      </c>
      <c r="T18" s="68">
        <v>0</v>
      </c>
      <c r="U18" s="68">
        <v>1</v>
      </c>
      <c r="V18" s="68">
        <v>66</v>
      </c>
      <c r="W18" s="68">
        <v>2</v>
      </c>
      <c r="X18" s="68">
        <v>2</v>
      </c>
      <c r="Y18" s="68">
        <v>4</v>
      </c>
      <c r="Z18" s="68"/>
      <c r="AA18" s="68">
        <v>36</v>
      </c>
      <c r="AB18" s="68">
        <v>2</v>
      </c>
      <c r="AC18" s="68">
        <v>9</v>
      </c>
      <c r="AD18" s="68">
        <v>4</v>
      </c>
      <c r="AE18" s="68">
        <v>0</v>
      </c>
      <c r="AF18" s="68">
        <v>56</v>
      </c>
      <c r="AG18" s="68">
        <v>1</v>
      </c>
      <c r="AH18" s="68"/>
      <c r="AI18" s="68">
        <v>1</v>
      </c>
      <c r="AJ18" s="68">
        <v>19</v>
      </c>
      <c r="AK18" s="68"/>
      <c r="AL18" s="68">
        <v>1</v>
      </c>
      <c r="AM18" s="68">
        <v>50</v>
      </c>
      <c r="AN18" s="68">
        <v>33</v>
      </c>
      <c r="AO18" s="68">
        <v>1</v>
      </c>
      <c r="AP18" s="68">
        <v>4</v>
      </c>
      <c r="AQ18" s="68">
        <v>15</v>
      </c>
      <c r="AR18" s="68">
        <v>30</v>
      </c>
      <c r="AS18" s="68">
        <v>15</v>
      </c>
      <c r="AT18" s="68">
        <v>7</v>
      </c>
      <c r="AU18" s="68"/>
      <c r="AV18" s="68"/>
      <c r="AW18" s="68">
        <v>2</v>
      </c>
      <c r="AX18" s="68">
        <v>2</v>
      </c>
      <c r="AY18" s="68">
        <v>1</v>
      </c>
      <c r="AZ18" s="68">
        <v>1</v>
      </c>
      <c r="BA18" s="68">
        <v>10</v>
      </c>
      <c r="BB18" s="68"/>
      <c r="BC18" s="68">
        <v>14</v>
      </c>
      <c r="BD18" s="68">
        <v>2</v>
      </c>
      <c r="BE18" s="68">
        <v>17</v>
      </c>
      <c r="BF18" s="68">
        <v>178</v>
      </c>
      <c r="BG18" s="68">
        <v>33</v>
      </c>
      <c r="BH18" s="68">
        <v>2</v>
      </c>
      <c r="BI18" s="68">
        <v>4</v>
      </c>
      <c r="BJ18" s="68"/>
      <c r="BK18" s="68">
        <v>99</v>
      </c>
      <c r="BL18" s="68">
        <v>16</v>
      </c>
      <c r="BM18" s="68">
        <v>2</v>
      </c>
      <c r="BN18" s="68">
        <v>3</v>
      </c>
      <c r="BO18" s="68">
        <v>18</v>
      </c>
      <c r="BP18" s="68">
        <v>12</v>
      </c>
      <c r="BQ18" s="68">
        <v>2</v>
      </c>
      <c r="BR18" s="68">
        <v>31</v>
      </c>
      <c r="BS18" s="68"/>
      <c r="BT18" s="68">
        <v>9</v>
      </c>
      <c r="BU18" s="68">
        <v>0</v>
      </c>
      <c r="BV18" s="68">
        <v>265</v>
      </c>
      <c r="BW18" s="68">
        <v>23</v>
      </c>
      <c r="BX18" s="68">
        <v>25</v>
      </c>
      <c r="BY18" s="68">
        <v>11</v>
      </c>
      <c r="BZ18" s="68">
        <v>2</v>
      </c>
      <c r="CA18" s="68">
        <v>7</v>
      </c>
      <c r="CB18" s="68"/>
      <c r="CC18" s="68">
        <v>11</v>
      </c>
      <c r="CD18" s="68">
        <v>69</v>
      </c>
      <c r="CE18" s="68">
        <v>6</v>
      </c>
      <c r="CF18" s="68">
        <v>35</v>
      </c>
      <c r="CG18" s="68"/>
      <c r="CH18" s="68">
        <v>2</v>
      </c>
      <c r="CI18" s="68">
        <v>78</v>
      </c>
      <c r="CJ18" s="338">
        <v>1671</v>
      </c>
    </row>
    <row r="19" spans="1:88" x14ac:dyDescent="0.25">
      <c r="A19" s="328" t="s">
        <v>679</v>
      </c>
      <c r="B19" s="68">
        <v>4</v>
      </c>
      <c r="C19" s="68">
        <v>1</v>
      </c>
      <c r="D19" s="68">
        <v>6</v>
      </c>
      <c r="E19" s="68">
        <v>2</v>
      </c>
      <c r="F19" s="68">
        <v>17</v>
      </c>
      <c r="G19" s="68">
        <v>37</v>
      </c>
      <c r="H19" s="68">
        <v>9</v>
      </c>
      <c r="I19" s="68">
        <v>1</v>
      </c>
      <c r="J19" s="68">
        <v>1</v>
      </c>
      <c r="K19" s="68">
        <v>30</v>
      </c>
      <c r="L19" s="68"/>
      <c r="M19" s="68">
        <v>2</v>
      </c>
      <c r="N19" s="68">
        <v>0</v>
      </c>
      <c r="O19" s="68">
        <v>2</v>
      </c>
      <c r="P19" s="68">
        <v>14</v>
      </c>
      <c r="Q19" s="68">
        <v>9</v>
      </c>
      <c r="R19" s="68">
        <v>0</v>
      </c>
      <c r="S19" s="68"/>
      <c r="T19" s="68">
        <v>2</v>
      </c>
      <c r="U19" s="68">
        <v>1</v>
      </c>
      <c r="V19" s="68">
        <v>1</v>
      </c>
      <c r="W19" s="68">
        <v>2</v>
      </c>
      <c r="X19" s="68"/>
      <c r="Y19" s="68">
        <v>7</v>
      </c>
      <c r="Z19" s="68"/>
      <c r="AA19" s="68">
        <v>24</v>
      </c>
      <c r="AB19" s="68">
        <v>1</v>
      </c>
      <c r="AC19" s="68">
        <v>5</v>
      </c>
      <c r="AD19" s="68">
        <v>4</v>
      </c>
      <c r="AE19" s="68">
        <v>0</v>
      </c>
      <c r="AF19" s="68">
        <v>30</v>
      </c>
      <c r="AG19" s="68">
        <v>1</v>
      </c>
      <c r="AH19" s="68">
        <v>2</v>
      </c>
      <c r="AI19" s="68">
        <v>5</v>
      </c>
      <c r="AJ19" s="68">
        <v>5</v>
      </c>
      <c r="AK19" s="68"/>
      <c r="AL19" s="68">
        <v>3</v>
      </c>
      <c r="AM19" s="68">
        <v>16</v>
      </c>
      <c r="AN19" s="68">
        <v>12</v>
      </c>
      <c r="AO19" s="68"/>
      <c r="AP19" s="68">
        <v>8</v>
      </c>
      <c r="AQ19" s="68">
        <v>15</v>
      </c>
      <c r="AR19" s="68"/>
      <c r="AS19" s="68">
        <v>3</v>
      </c>
      <c r="AT19" s="68">
        <v>12</v>
      </c>
      <c r="AU19" s="68"/>
      <c r="AV19" s="68">
        <v>2</v>
      </c>
      <c r="AW19" s="68">
        <v>2</v>
      </c>
      <c r="AX19" s="68"/>
      <c r="AY19" s="68">
        <v>1</v>
      </c>
      <c r="AZ19" s="68">
        <v>1</v>
      </c>
      <c r="BA19" s="68">
        <v>9</v>
      </c>
      <c r="BB19" s="68"/>
      <c r="BC19" s="68">
        <v>5</v>
      </c>
      <c r="BD19" s="68">
        <v>12</v>
      </c>
      <c r="BE19" s="68">
        <v>4</v>
      </c>
      <c r="BF19" s="68">
        <v>148</v>
      </c>
      <c r="BG19" s="68">
        <v>42</v>
      </c>
      <c r="BH19" s="68">
        <v>4</v>
      </c>
      <c r="BI19" s="68">
        <v>5</v>
      </c>
      <c r="BJ19" s="68"/>
      <c r="BK19" s="68">
        <v>27</v>
      </c>
      <c r="BL19" s="68">
        <v>15</v>
      </c>
      <c r="BM19" s="68">
        <v>4</v>
      </c>
      <c r="BN19" s="68">
        <v>2</v>
      </c>
      <c r="BO19" s="68">
        <v>4</v>
      </c>
      <c r="BP19" s="68">
        <v>10</v>
      </c>
      <c r="BQ19" s="68"/>
      <c r="BR19" s="68">
        <v>3</v>
      </c>
      <c r="BS19" s="68"/>
      <c r="BT19" s="68">
        <v>7</v>
      </c>
      <c r="BU19" s="68">
        <v>0</v>
      </c>
      <c r="BV19" s="68">
        <v>37</v>
      </c>
      <c r="BW19" s="68">
        <v>3</v>
      </c>
      <c r="BX19" s="68">
        <v>3</v>
      </c>
      <c r="BY19" s="68">
        <v>5</v>
      </c>
      <c r="BZ19" s="68">
        <v>2</v>
      </c>
      <c r="CA19" s="68">
        <v>3</v>
      </c>
      <c r="CB19" s="68"/>
      <c r="CC19" s="68">
        <v>6</v>
      </c>
      <c r="CD19" s="68">
        <v>6</v>
      </c>
      <c r="CE19" s="68">
        <v>11</v>
      </c>
      <c r="CF19" s="68">
        <v>8</v>
      </c>
      <c r="CG19" s="68">
        <v>2</v>
      </c>
      <c r="CH19" s="68"/>
      <c r="CI19" s="68">
        <v>17</v>
      </c>
      <c r="CJ19" s="338">
        <v>704</v>
      </c>
    </row>
    <row r="20" spans="1:88" x14ac:dyDescent="0.25">
      <c r="A20" s="328" t="s">
        <v>680</v>
      </c>
      <c r="B20" s="68">
        <v>4</v>
      </c>
      <c r="C20" s="68">
        <v>5</v>
      </c>
      <c r="D20" s="68">
        <v>6</v>
      </c>
      <c r="E20" s="68">
        <v>8</v>
      </c>
      <c r="F20" s="68">
        <v>28</v>
      </c>
      <c r="G20" s="68">
        <v>18</v>
      </c>
      <c r="H20" s="68">
        <v>34</v>
      </c>
      <c r="I20" s="68">
        <v>1</v>
      </c>
      <c r="J20" s="68">
        <v>3</v>
      </c>
      <c r="K20" s="68">
        <v>65</v>
      </c>
      <c r="L20" s="68">
        <v>9</v>
      </c>
      <c r="M20" s="68">
        <v>6</v>
      </c>
      <c r="N20" s="68">
        <v>0</v>
      </c>
      <c r="O20" s="68">
        <v>1</v>
      </c>
      <c r="P20" s="68">
        <v>9</v>
      </c>
      <c r="Q20" s="68">
        <v>14</v>
      </c>
      <c r="R20" s="68">
        <v>1</v>
      </c>
      <c r="S20" s="68">
        <v>1</v>
      </c>
      <c r="T20" s="68">
        <v>4</v>
      </c>
      <c r="U20" s="68">
        <v>2</v>
      </c>
      <c r="V20" s="68">
        <v>4</v>
      </c>
      <c r="W20" s="68">
        <v>4</v>
      </c>
      <c r="X20" s="68">
        <v>2</v>
      </c>
      <c r="Y20" s="68">
        <v>7</v>
      </c>
      <c r="Z20" s="68"/>
      <c r="AA20" s="68">
        <v>33</v>
      </c>
      <c r="AB20" s="68">
        <v>3</v>
      </c>
      <c r="AC20" s="68">
        <v>6</v>
      </c>
      <c r="AD20" s="68">
        <v>17</v>
      </c>
      <c r="AE20" s="68">
        <v>0</v>
      </c>
      <c r="AF20" s="68">
        <v>29</v>
      </c>
      <c r="AG20" s="68">
        <v>4</v>
      </c>
      <c r="AH20" s="68">
        <v>2</v>
      </c>
      <c r="AI20" s="68">
        <v>9</v>
      </c>
      <c r="AJ20" s="68">
        <v>11</v>
      </c>
      <c r="AK20" s="68"/>
      <c r="AL20" s="68">
        <v>5</v>
      </c>
      <c r="AM20" s="68">
        <v>11</v>
      </c>
      <c r="AN20" s="68">
        <v>18</v>
      </c>
      <c r="AO20" s="68"/>
      <c r="AP20" s="68">
        <v>8</v>
      </c>
      <c r="AQ20" s="68">
        <v>2</v>
      </c>
      <c r="AR20" s="68"/>
      <c r="AS20" s="68">
        <v>2</v>
      </c>
      <c r="AT20" s="68">
        <v>16</v>
      </c>
      <c r="AU20" s="68"/>
      <c r="AV20" s="68">
        <v>2</v>
      </c>
      <c r="AW20" s="68">
        <v>4</v>
      </c>
      <c r="AX20" s="68">
        <v>2</v>
      </c>
      <c r="AY20" s="68">
        <v>2</v>
      </c>
      <c r="AZ20" s="68">
        <v>3</v>
      </c>
      <c r="BA20" s="68">
        <v>15</v>
      </c>
      <c r="BB20" s="68"/>
      <c r="BC20" s="68">
        <v>38</v>
      </c>
      <c r="BD20" s="68">
        <v>15</v>
      </c>
      <c r="BE20" s="68">
        <v>28</v>
      </c>
      <c r="BF20" s="68">
        <v>244</v>
      </c>
      <c r="BG20" s="68">
        <v>65</v>
      </c>
      <c r="BH20" s="68">
        <v>7</v>
      </c>
      <c r="BI20" s="68">
        <v>10</v>
      </c>
      <c r="BJ20" s="68"/>
      <c r="BK20" s="68">
        <v>54</v>
      </c>
      <c r="BL20" s="68">
        <v>56</v>
      </c>
      <c r="BM20" s="68">
        <v>4</v>
      </c>
      <c r="BN20" s="68">
        <v>5</v>
      </c>
      <c r="BO20" s="68">
        <v>7</v>
      </c>
      <c r="BP20" s="68">
        <v>57</v>
      </c>
      <c r="BQ20" s="68"/>
      <c r="BR20" s="68">
        <v>5</v>
      </c>
      <c r="BS20" s="68">
        <v>2</v>
      </c>
      <c r="BT20" s="68">
        <v>11</v>
      </c>
      <c r="BU20" s="68">
        <v>0</v>
      </c>
      <c r="BV20" s="68">
        <v>76</v>
      </c>
      <c r="BW20" s="68">
        <v>13</v>
      </c>
      <c r="BX20" s="68">
        <v>6</v>
      </c>
      <c r="BY20" s="68">
        <v>8</v>
      </c>
      <c r="BZ20" s="68">
        <v>1</v>
      </c>
      <c r="CA20" s="68">
        <v>7</v>
      </c>
      <c r="CB20" s="68"/>
      <c r="CC20" s="68">
        <v>37</v>
      </c>
      <c r="CD20" s="68">
        <v>20</v>
      </c>
      <c r="CE20" s="68">
        <v>22</v>
      </c>
      <c r="CF20" s="68">
        <v>23</v>
      </c>
      <c r="CG20" s="68">
        <v>2</v>
      </c>
      <c r="CH20" s="68"/>
      <c r="CI20" s="68">
        <v>41</v>
      </c>
      <c r="CJ20" s="338">
        <v>1304</v>
      </c>
    </row>
    <row r="21" spans="1:88" x14ac:dyDescent="0.25">
      <c r="A21" s="329" t="s">
        <v>442</v>
      </c>
      <c r="B21" s="330">
        <f>SUM(B5:B20)</f>
        <v>28</v>
      </c>
      <c r="C21" s="330">
        <f t="shared" ref="C21:BN21" si="0">SUM(C5:C20)</f>
        <v>24</v>
      </c>
      <c r="D21" s="330">
        <f t="shared" si="0"/>
        <v>77</v>
      </c>
      <c r="E21" s="330">
        <f t="shared" si="0"/>
        <v>54</v>
      </c>
      <c r="F21" s="330">
        <f t="shared" si="0"/>
        <v>253</v>
      </c>
      <c r="G21" s="330">
        <f t="shared" si="0"/>
        <v>504</v>
      </c>
      <c r="H21" s="330">
        <f t="shared" si="0"/>
        <v>258</v>
      </c>
      <c r="I21" s="330">
        <f t="shared" si="0"/>
        <v>4</v>
      </c>
      <c r="J21" s="330">
        <f t="shared" si="0"/>
        <v>17</v>
      </c>
      <c r="K21" s="330">
        <f t="shared" si="0"/>
        <v>344</v>
      </c>
      <c r="L21" s="330">
        <f t="shared" si="0"/>
        <v>25</v>
      </c>
      <c r="M21" s="330">
        <f t="shared" si="0"/>
        <v>24</v>
      </c>
      <c r="N21" s="330">
        <f t="shared" si="0"/>
        <v>2</v>
      </c>
      <c r="O21" s="330">
        <f t="shared" si="0"/>
        <v>13</v>
      </c>
      <c r="P21" s="330">
        <f t="shared" si="0"/>
        <v>256</v>
      </c>
      <c r="Q21" s="330">
        <f t="shared" si="0"/>
        <v>62</v>
      </c>
      <c r="R21" s="330">
        <f t="shared" si="0"/>
        <v>2</v>
      </c>
      <c r="S21" s="330">
        <f t="shared" si="0"/>
        <v>4</v>
      </c>
      <c r="T21" s="330">
        <f t="shared" si="0"/>
        <v>15</v>
      </c>
      <c r="U21" s="330">
        <f t="shared" si="0"/>
        <v>10</v>
      </c>
      <c r="V21" s="330">
        <f t="shared" si="0"/>
        <v>181</v>
      </c>
      <c r="W21" s="330">
        <f t="shared" si="0"/>
        <v>21</v>
      </c>
      <c r="X21" s="330">
        <f t="shared" si="0"/>
        <v>18</v>
      </c>
      <c r="Y21" s="330">
        <f t="shared" si="0"/>
        <v>58</v>
      </c>
      <c r="Z21" s="330">
        <f t="shared" si="0"/>
        <v>0</v>
      </c>
      <c r="AA21" s="330">
        <f t="shared" si="0"/>
        <v>269</v>
      </c>
      <c r="AB21" s="330">
        <f t="shared" si="0"/>
        <v>18</v>
      </c>
      <c r="AC21" s="330">
        <f t="shared" si="0"/>
        <v>45</v>
      </c>
      <c r="AD21" s="330">
        <f t="shared" si="0"/>
        <v>136</v>
      </c>
      <c r="AE21" s="330">
        <f t="shared" si="0"/>
        <v>0</v>
      </c>
      <c r="AF21" s="330">
        <f t="shared" si="0"/>
        <v>371</v>
      </c>
      <c r="AG21" s="330">
        <f t="shared" si="0"/>
        <v>10</v>
      </c>
      <c r="AH21" s="330">
        <f t="shared" si="0"/>
        <v>20</v>
      </c>
      <c r="AI21" s="330">
        <f t="shared" si="0"/>
        <v>33</v>
      </c>
      <c r="AJ21" s="330">
        <f t="shared" si="0"/>
        <v>103</v>
      </c>
      <c r="AK21" s="330">
        <f t="shared" si="0"/>
        <v>0</v>
      </c>
      <c r="AL21" s="330">
        <f t="shared" si="0"/>
        <v>28</v>
      </c>
      <c r="AM21" s="330">
        <f t="shared" si="0"/>
        <v>193</v>
      </c>
      <c r="AN21" s="330">
        <f t="shared" si="0"/>
        <v>223</v>
      </c>
      <c r="AO21" s="330">
        <f t="shared" si="0"/>
        <v>11</v>
      </c>
      <c r="AP21" s="330">
        <f t="shared" si="0"/>
        <v>44</v>
      </c>
      <c r="AQ21" s="330">
        <f t="shared" si="0"/>
        <v>49</v>
      </c>
      <c r="AR21" s="330">
        <f t="shared" si="0"/>
        <v>240</v>
      </c>
      <c r="AS21" s="330">
        <f t="shared" si="0"/>
        <v>46</v>
      </c>
      <c r="AT21" s="330">
        <f t="shared" si="0"/>
        <v>95</v>
      </c>
      <c r="AU21" s="330">
        <f t="shared" si="0"/>
        <v>4</v>
      </c>
      <c r="AV21" s="330">
        <f t="shared" si="0"/>
        <v>28</v>
      </c>
      <c r="AW21" s="330">
        <f t="shared" si="0"/>
        <v>33</v>
      </c>
      <c r="AX21" s="330">
        <f t="shared" si="0"/>
        <v>10</v>
      </c>
      <c r="AY21" s="330">
        <f t="shared" si="0"/>
        <v>17</v>
      </c>
      <c r="AZ21" s="330">
        <f t="shared" si="0"/>
        <v>11</v>
      </c>
      <c r="BA21" s="330">
        <f t="shared" si="0"/>
        <v>87</v>
      </c>
      <c r="BB21" s="330">
        <f t="shared" si="0"/>
        <v>0</v>
      </c>
      <c r="BC21" s="330">
        <f t="shared" si="0"/>
        <v>149</v>
      </c>
      <c r="BD21" s="330">
        <f t="shared" si="0"/>
        <v>67</v>
      </c>
      <c r="BE21" s="330">
        <f t="shared" si="0"/>
        <v>147</v>
      </c>
      <c r="BF21" s="330">
        <f t="shared" si="0"/>
        <v>1829</v>
      </c>
      <c r="BG21" s="330">
        <f t="shared" si="0"/>
        <v>419</v>
      </c>
      <c r="BH21" s="330">
        <f t="shared" si="0"/>
        <v>35</v>
      </c>
      <c r="BI21" s="330">
        <f t="shared" si="0"/>
        <v>74</v>
      </c>
      <c r="BJ21" s="330">
        <f t="shared" si="0"/>
        <v>0</v>
      </c>
      <c r="BK21" s="330">
        <f t="shared" si="0"/>
        <v>623</v>
      </c>
      <c r="BL21" s="330">
        <f t="shared" si="0"/>
        <v>233</v>
      </c>
      <c r="BM21" s="330">
        <f t="shared" si="0"/>
        <v>88</v>
      </c>
      <c r="BN21" s="330">
        <f t="shared" si="0"/>
        <v>23</v>
      </c>
      <c r="BO21" s="330">
        <f t="shared" ref="BO21:CJ21" si="1">SUM(BO5:BO20)</f>
        <v>84</v>
      </c>
      <c r="BP21" s="330">
        <f t="shared" si="1"/>
        <v>231</v>
      </c>
      <c r="BQ21" s="330">
        <f t="shared" si="1"/>
        <v>4</v>
      </c>
      <c r="BR21" s="330">
        <f t="shared" si="1"/>
        <v>103</v>
      </c>
      <c r="BS21" s="330">
        <f t="shared" si="1"/>
        <v>4</v>
      </c>
      <c r="BT21" s="330">
        <f t="shared" si="1"/>
        <v>56</v>
      </c>
      <c r="BU21" s="330">
        <f t="shared" si="1"/>
        <v>0</v>
      </c>
      <c r="BV21" s="330">
        <f t="shared" si="1"/>
        <v>1456</v>
      </c>
      <c r="BW21" s="330">
        <f t="shared" si="1"/>
        <v>135</v>
      </c>
      <c r="BX21" s="330">
        <f t="shared" si="1"/>
        <v>97</v>
      </c>
      <c r="BY21" s="330">
        <f t="shared" si="1"/>
        <v>46</v>
      </c>
      <c r="BZ21" s="330">
        <f t="shared" si="1"/>
        <v>11</v>
      </c>
      <c r="CA21" s="330">
        <f t="shared" si="1"/>
        <v>36</v>
      </c>
      <c r="CB21" s="330">
        <f t="shared" si="1"/>
        <v>0</v>
      </c>
      <c r="CC21" s="330">
        <f t="shared" si="1"/>
        <v>79</v>
      </c>
      <c r="CD21" s="330">
        <f t="shared" si="1"/>
        <v>183</v>
      </c>
      <c r="CE21" s="330">
        <f t="shared" si="1"/>
        <v>99</v>
      </c>
      <c r="CF21" s="330">
        <f t="shared" si="1"/>
        <v>152</v>
      </c>
      <c r="CG21" s="330">
        <f t="shared" si="1"/>
        <v>6</v>
      </c>
      <c r="CH21" s="330">
        <f t="shared" si="1"/>
        <v>7</v>
      </c>
      <c r="CI21" s="330">
        <f t="shared" si="1"/>
        <v>395</v>
      </c>
      <c r="CJ21" s="330">
        <f t="shared" si="1"/>
        <v>11249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032BB-FDF2-4C26-8D37-931C848FAC71}">
  <sheetPr>
    <tabColor theme="9" tint="0.79998168889431442"/>
  </sheetPr>
  <dimension ref="A1:H17"/>
  <sheetViews>
    <sheetView workbookViewId="0">
      <selection activeCell="G25" sqref="G25"/>
    </sheetView>
  </sheetViews>
  <sheetFormatPr defaultRowHeight="15" x14ac:dyDescent="0.25"/>
  <cols>
    <col min="1" max="1" width="76.5703125" bestFit="1" customWidth="1"/>
    <col min="2" max="2" width="10.85546875" bestFit="1" customWidth="1"/>
    <col min="3" max="3" width="15.85546875" bestFit="1" customWidth="1"/>
    <col min="4" max="4" width="14.85546875" bestFit="1" customWidth="1"/>
    <col min="5" max="5" width="10.85546875" bestFit="1" customWidth="1"/>
    <col min="6" max="6" width="10.28515625" bestFit="1" customWidth="1"/>
    <col min="7" max="7" width="15.5703125" bestFit="1" customWidth="1"/>
    <col min="8" max="8" width="6" bestFit="1" customWidth="1"/>
    <col min="9" max="9" width="63.7109375" bestFit="1" customWidth="1"/>
    <col min="10" max="10" width="54.28515625" bestFit="1" customWidth="1"/>
    <col min="11" max="11" width="35" bestFit="1" customWidth="1"/>
    <col min="12" max="12" width="39" bestFit="1" customWidth="1"/>
    <col min="13" max="13" width="52.5703125" bestFit="1" customWidth="1"/>
    <col min="14" max="14" width="74" bestFit="1" customWidth="1"/>
    <col min="15" max="15" width="39.42578125" bestFit="1" customWidth="1"/>
    <col min="16" max="16" width="36.5703125" bestFit="1" customWidth="1"/>
    <col min="17" max="17" width="38.7109375" bestFit="1" customWidth="1"/>
    <col min="18" max="18" width="44" bestFit="1" customWidth="1"/>
    <col min="19" max="19" width="11.28515625" bestFit="1" customWidth="1"/>
    <col min="20" max="34" width="77.42578125" bestFit="1" customWidth="1"/>
    <col min="35" max="35" width="15.85546875" bestFit="1" customWidth="1"/>
    <col min="36" max="36" width="20.85546875" bestFit="1" customWidth="1"/>
  </cols>
  <sheetData>
    <row r="1" spans="1:8" x14ac:dyDescent="0.25">
      <c r="A1" t="s">
        <v>426</v>
      </c>
      <c r="B1" t="s">
        <v>633</v>
      </c>
    </row>
    <row r="3" spans="1:8" x14ac:dyDescent="0.25">
      <c r="A3" t="s">
        <v>557</v>
      </c>
      <c r="B3" t="s">
        <v>681</v>
      </c>
      <c r="C3" t="s">
        <v>682</v>
      </c>
      <c r="D3" t="s">
        <v>683</v>
      </c>
      <c r="E3" t="s">
        <v>684</v>
      </c>
      <c r="F3" t="s">
        <v>685</v>
      </c>
      <c r="G3" t="s">
        <v>686</v>
      </c>
      <c r="H3" s="330" t="s">
        <v>687</v>
      </c>
    </row>
    <row r="4" spans="1:8" x14ac:dyDescent="0.25">
      <c r="A4" s="328" t="s">
        <v>688</v>
      </c>
      <c r="B4" s="68">
        <v>8</v>
      </c>
      <c r="C4" s="68">
        <v>3</v>
      </c>
      <c r="D4" s="68">
        <v>140</v>
      </c>
      <c r="E4" s="68">
        <v>21</v>
      </c>
      <c r="F4" s="68">
        <v>61</v>
      </c>
      <c r="G4" s="68">
        <v>176</v>
      </c>
      <c r="H4" s="330">
        <f>SUM(B4:G4)</f>
        <v>409</v>
      </c>
    </row>
    <row r="5" spans="1:8" x14ac:dyDescent="0.25">
      <c r="A5" s="328" t="s">
        <v>621</v>
      </c>
      <c r="B5" s="68">
        <v>26</v>
      </c>
      <c r="C5" s="68">
        <v>46</v>
      </c>
      <c r="D5" s="68">
        <v>334</v>
      </c>
      <c r="E5" s="68">
        <v>107</v>
      </c>
      <c r="F5" s="68">
        <v>117</v>
      </c>
      <c r="G5" s="68">
        <v>600</v>
      </c>
      <c r="H5" s="330">
        <f t="shared" ref="H5:H17" si="0">SUM(B5:G5)</f>
        <v>1230</v>
      </c>
    </row>
    <row r="6" spans="1:8" x14ac:dyDescent="0.25">
      <c r="A6" s="328" t="s">
        <v>689</v>
      </c>
      <c r="B6" s="68">
        <v>29</v>
      </c>
      <c r="C6" s="68">
        <v>64</v>
      </c>
      <c r="D6" s="68">
        <v>336</v>
      </c>
      <c r="E6" s="68">
        <v>62</v>
      </c>
      <c r="F6" s="68">
        <v>125</v>
      </c>
      <c r="G6" s="68">
        <v>284</v>
      </c>
      <c r="H6" s="330">
        <f t="shared" si="0"/>
        <v>900</v>
      </c>
    </row>
    <row r="7" spans="1:8" x14ac:dyDescent="0.25">
      <c r="A7" s="328" t="s">
        <v>690</v>
      </c>
      <c r="B7" s="68">
        <v>46</v>
      </c>
      <c r="C7" s="68">
        <v>103</v>
      </c>
      <c r="D7" s="68">
        <v>316</v>
      </c>
      <c r="E7" s="68">
        <v>51</v>
      </c>
      <c r="F7" s="68">
        <v>123</v>
      </c>
      <c r="G7" s="68">
        <v>254</v>
      </c>
      <c r="H7" s="330">
        <f t="shared" si="0"/>
        <v>893</v>
      </c>
    </row>
    <row r="8" spans="1:8" x14ac:dyDescent="0.25">
      <c r="A8" s="328" t="s">
        <v>691</v>
      </c>
      <c r="B8" s="68">
        <v>28</v>
      </c>
      <c r="C8" s="68">
        <v>123</v>
      </c>
      <c r="D8" s="68">
        <v>470</v>
      </c>
      <c r="E8" s="68">
        <v>65</v>
      </c>
      <c r="F8" s="68">
        <v>118</v>
      </c>
      <c r="G8" s="68">
        <v>309</v>
      </c>
      <c r="H8" s="330">
        <f t="shared" si="0"/>
        <v>1113</v>
      </c>
    </row>
    <row r="9" spans="1:8" x14ac:dyDescent="0.25">
      <c r="A9" s="328" t="s">
        <v>692</v>
      </c>
      <c r="B9" s="68">
        <v>5</v>
      </c>
      <c r="C9" s="68">
        <v>68</v>
      </c>
      <c r="D9" s="68">
        <v>301</v>
      </c>
      <c r="E9" s="68">
        <v>55</v>
      </c>
      <c r="F9" s="68">
        <v>64</v>
      </c>
      <c r="G9" s="68">
        <v>181</v>
      </c>
      <c r="H9" s="330">
        <f t="shared" si="0"/>
        <v>674</v>
      </c>
    </row>
    <row r="10" spans="1:8" x14ac:dyDescent="0.25">
      <c r="A10" s="328" t="s">
        <v>693</v>
      </c>
      <c r="B10" s="68">
        <v>29</v>
      </c>
      <c r="C10" s="68">
        <v>105</v>
      </c>
      <c r="D10" s="68">
        <v>455</v>
      </c>
      <c r="E10" s="68">
        <v>66</v>
      </c>
      <c r="F10" s="68">
        <v>114</v>
      </c>
      <c r="G10" s="68">
        <v>343</v>
      </c>
      <c r="H10" s="330">
        <f t="shared" si="0"/>
        <v>1112</v>
      </c>
    </row>
    <row r="11" spans="1:8" x14ac:dyDescent="0.25">
      <c r="A11" s="328" t="s">
        <v>694</v>
      </c>
      <c r="B11" s="68">
        <v>7</v>
      </c>
      <c r="C11" s="68">
        <v>50</v>
      </c>
      <c r="D11" s="68">
        <v>252</v>
      </c>
      <c r="E11" s="68">
        <v>49</v>
      </c>
      <c r="F11" s="68">
        <v>72</v>
      </c>
      <c r="G11" s="68">
        <v>267</v>
      </c>
      <c r="H11" s="330">
        <f t="shared" si="0"/>
        <v>697</v>
      </c>
    </row>
    <row r="12" spans="1:8" x14ac:dyDescent="0.25">
      <c r="A12" s="328" t="s">
        <v>695</v>
      </c>
      <c r="B12" s="68">
        <v>55</v>
      </c>
      <c r="C12" s="68">
        <v>92</v>
      </c>
      <c r="D12" s="68">
        <v>454</v>
      </c>
      <c r="E12" s="68">
        <v>83</v>
      </c>
      <c r="F12" s="68">
        <v>98</v>
      </c>
      <c r="G12" s="68">
        <v>477</v>
      </c>
      <c r="H12" s="330">
        <f t="shared" si="0"/>
        <v>1259</v>
      </c>
    </row>
    <row r="13" spans="1:8" x14ac:dyDescent="0.25">
      <c r="A13" s="328" t="s">
        <v>52</v>
      </c>
      <c r="B13" s="68">
        <v>8</v>
      </c>
      <c r="C13" s="68">
        <v>43</v>
      </c>
      <c r="D13" s="68">
        <v>397</v>
      </c>
      <c r="E13" s="68">
        <v>71</v>
      </c>
      <c r="F13" s="68">
        <v>95</v>
      </c>
      <c r="G13" s="68">
        <v>220</v>
      </c>
      <c r="H13" s="330">
        <f t="shared" si="0"/>
        <v>834</v>
      </c>
    </row>
    <row r="14" spans="1:8" x14ac:dyDescent="0.25">
      <c r="A14" s="328" t="s">
        <v>696</v>
      </c>
      <c r="B14" s="68">
        <v>10</v>
      </c>
      <c r="C14" s="68">
        <v>49</v>
      </c>
      <c r="D14" s="68">
        <v>326</v>
      </c>
      <c r="E14" s="68">
        <v>44</v>
      </c>
      <c r="F14" s="68">
        <v>82</v>
      </c>
      <c r="G14" s="68">
        <v>293</v>
      </c>
      <c r="H14" s="330">
        <f t="shared" si="0"/>
        <v>804</v>
      </c>
    </row>
    <row r="15" spans="1:8" x14ac:dyDescent="0.25">
      <c r="A15" s="328" t="s">
        <v>697</v>
      </c>
      <c r="B15" s="68">
        <v>145</v>
      </c>
      <c r="C15" s="68">
        <v>2</v>
      </c>
      <c r="D15" s="68">
        <v>803</v>
      </c>
      <c r="E15" s="68">
        <v>124</v>
      </c>
      <c r="F15" s="68">
        <v>242</v>
      </c>
      <c r="G15" s="68">
        <v>955</v>
      </c>
      <c r="H15" s="330">
        <f t="shared" si="0"/>
        <v>2271</v>
      </c>
    </row>
    <row r="16" spans="1:8" x14ac:dyDescent="0.25">
      <c r="A16" s="328" t="s">
        <v>698</v>
      </c>
      <c r="B16" s="68">
        <v>0</v>
      </c>
      <c r="C16" s="68">
        <v>0</v>
      </c>
      <c r="D16" s="68">
        <v>28</v>
      </c>
      <c r="E16" s="68">
        <v>48</v>
      </c>
      <c r="F16" s="68">
        <v>14</v>
      </c>
      <c r="G16" s="68">
        <v>30</v>
      </c>
      <c r="H16" s="330">
        <f t="shared" si="0"/>
        <v>120</v>
      </c>
    </row>
    <row r="17" spans="1:8" x14ac:dyDescent="0.25">
      <c r="A17" s="331" t="s">
        <v>186</v>
      </c>
      <c r="B17" s="332">
        <v>396</v>
      </c>
      <c r="C17" s="332">
        <v>748</v>
      </c>
      <c r="D17" s="332">
        <v>4612</v>
      </c>
      <c r="E17" s="332">
        <v>846</v>
      </c>
      <c r="F17" s="332">
        <v>1325</v>
      </c>
      <c r="G17" s="333">
        <v>4389</v>
      </c>
      <c r="H17" s="330">
        <f t="shared" si="0"/>
        <v>12316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777B9-2D24-48B7-AAA7-AD88E888B4CA}">
  <sheetPr>
    <tabColor theme="9" tint="0.79998168889431442"/>
  </sheetPr>
  <dimension ref="A1:CV17"/>
  <sheetViews>
    <sheetView workbookViewId="0">
      <pane xSplit="1" ySplit="4" topLeftCell="BG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RowHeight="15" x14ac:dyDescent="0.25"/>
  <cols>
    <col min="1" max="1" width="64.5703125" bestFit="1" customWidth="1"/>
    <col min="2" max="2" width="15.7109375" bestFit="1" customWidth="1"/>
    <col min="3" max="96" width="4.140625" bestFit="1" customWidth="1"/>
    <col min="97" max="97" width="11" bestFit="1" customWidth="1"/>
    <col min="98" max="98" width="11.28515625" bestFit="1" customWidth="1"/>
    <col min="99" max="99" width="2.140625" bestFit="1" customWidth="1"/>
    <col min="100" max="100" width="28.7109375" customWidth="1"/>
    <col min="101" max="477" width="66.5703125" bestFit="1" customWidth="1"/>
    <col min="478" max="478" width="41.85546875" bestFit="1" customWidth="1"/>
    <col min="479" max="479" width="43.42578125" bestFit="1" customWidth="1"/>
    <col min="480" max="480" width="61.7109375" bestFit="1" customWidth="1"/>
    <col min="481" max="481" width="71.7109375" bestFit="1" customWidth="1"/>
    <col min="482" max="482" width="40.85546875" bestFit="1" customWidth="1"/>
    <col min="483" max="483" width="49.85546875" bestFit="1" customWidth="1"/>
    <col min="484" max="484" width="40.85546875" bestFit="1" customWidth="1"/>
    <col min="485" max="485" width="65.5703125" bestFit="1" customWidth="1"/>
    <col min="486" max="486" width="33" bestFit="1" customWidth="1"/>
  </cols>
  <sheetData>
    <row r="1" spans="1:97" x14ac:dyDescent="0.25">
      <c r="A1" t="s">
        <v>755</v>
      </c>
      <c r="B1" t="s">
        <v>633</v>
      </c>
    </row>
    <row r="3" spans="1:97" x14ac:dyDescent="0.25">
      <c r="B3" t="s">
        <v>634</v>
      </c>
    </row>
    <row r="4" spans="1:97" ht="162" x14ac:dyDescent="0.25">
      <c r="A4" t="s">
        <v>635</v>
      </c>
      <c r="B4" s="326" t="s">
        <v>230</v>
      </c>
      <c r="C4" s="326" t="s">
        <v>234</v>
      </c>
      <c r="D4" s="326" t="s">
        <v>239</v>
      </c>
      <c r="E4" s="326" t="s">
        <v>637</v>
      </c>
      <c r="F4" s="326" t="s">
        <v>250</v>
      </c>
      <c r="G4" s="326" t="s">
        <v>157</v>
      </c>
      <c r="H4" s="326" t="s">
        <v>158</v>
      </c>
      <c r="I4" s="326" t="s">
        <v>756</v>
      </c>
      <c r="J4" s="326" t="s">
        <v>639</v>
      </c>
      <c r="K4" s="326" t="s">
        <v>757</v>
      </c>
      <c r="L4" s="326" t="s">
        <v>273</v>
      </c>
      <c r="M4" s="326" t="s">
        <v>758</v>
      </c>
      <c r="N4" s="326" t="s">
        <v>275</v>
      </c>
      <c r="O4" s="326" t="s">
        <v>276</v>
      </c>
      <c r="P4" s="326" t="s">
        <v>278</v>
      </c>
      <c r="Q4" s="326" t="s">
        <v>281</v>
      </c>
      <c r="R4" s="326" t="s">
        <v>749</v>
      </c>
      <c r="S4" s="326" t="s">
        <v>284</v>
      </c>
      <c r="T4" s="326" t="s">
        <v>642</v>
      </c>
      <c r="U4" s="326" t="s">
        <v>161</v>
      </c>
      <c r="V4" s="326" t="s">
        <v>643</v>
      </c>
      <c r="W4" s="326" t="s">
        <v>759</v>
      </c>
      <c r="X4" s="326" t="s">
        <v>290</v>
      </c>
      <c r="Y4" s="326" t="s">
        <v>162</v>
      </c>
      <c r="Z4" s="326" t="s">
        <v>294</v>
      </c>
      <c r="AA4" s="326" t="s">
        <v>163</v>
      </c>
      <c r="AB4" s="326" t="s">
        <v>760</v>
      </c>
      <c r="AC4" s="326" t="s">
        <v>761</v>
      </c>
      <c r="AD4" s="326" t="s">
        <v>300</v>
      </c>
      <c r="AE4" s="326" t="s">
        <v>305</v>
      </c>
      <c r="AF4" s="326" t="s">
        <v>165</v>
      </c>
      <c r="AG4" s="326" t="s">
        <v>645</v>
      </c>
      <c r="AH4" s="326" t="s">
        <v>314</v>
      </c>
      <c r="AI4" s="326" t="s">
        <v>646</v>
      </c>
      <c r="AJ4" s="326" t="s">
        <v>647</v>
      </c>
      <c r="AK4" s="326" t="s">
        <v>321</v>
      </c>
      <c r="AL4" s="326" t="s">
        <v>166</v>
      </c>
      <c r="AM4" s="326" t="s">
        <v>326</v>
      </c>
      <c r="AN4" s="326" t="s">
        <v>167</v>
      </c>
      <c r="AO4" s="449" t="s">
        <v>762</v>
      </c>
      <c r="AP4" s="326" t="s">
        <v>763</v>
      </c>
      <c r="AQ4" s="326" t="s">
        <v>509</v>
      </c>
      <c r="AR4" s="326" t="s">
        <v>522</v>
      </c>
      <c r="AS4" s="326" t="s">
        <v>649</v>
      </c>
      <c r="AT4" s="326" t="s">
        <v>182</v>
      </c>
      <c r="AU4" s="326" t="s">
        <v>650</v>
      </c>
      <c r="AV4" s="360" t="s">
        <v>651</v>
      </c>
      <c r="AW4" s="362" t="s">
        <v>764</v>
      </c>
      <c r="AX4" s="326" t="s">
        <v>765</v>
      </c>
      <c r="AY4" s="326" t="s">
        <v>766</v>
      </c>
      <c r="AZ4" s="326" t="s">
        <v>508</v>
      </c>
      <c r="BA4" s="449" t="s">
        <v>767</v>
      </c>
      <c r="BB4" s="326" t="s">
        <v>768</v>
      </c>
      <c r="BC4" s="360" t="s">
        <v>769</v>
      </c>
      <c r="BD4" s="362" t="s">
        <v>770</v>
      </c>
      <c r="BE4" s="326" t="s">
        <v>771</v>
      </c>
      <c r="BF4" s="326" t="s">
        <v>772</v>
      </c>
      <c r="BG4" s="326" t="s">
        <v>773</v>
      </c>
      <c r="BH4" s="326" t="s">
        <v>652</v>
      </c>
      <c r="BI4" s="326" t="s">
        <v>654</v>
      </c>
      <c r="BJ4" s="326" t="s">
        <v>656</v>
      </c>
      <c r="BK4" s="326" t="s">
        <v>349</v>
      </c>
      <c r="BL4" s="326" t="s">
        <v>657</v>
      </c>
      <c r="BM4" s="326" t="s">
        <v>352</v>
      </c>
      <c r="BN4" s="326" t="s">
        <v>658</v>
      </c>
      <c r="BO4" s="326" t="s">
        <v>360</v>
      </c>
      <c r="BP4" s="326" t="s">
        <v>364</v>
      </c>
      <c r="BQ4" s="326" t="s">
        <v>168</v>
      </c>
      <c r="BR4" s="326" t="s">
        <v>172</v>
      </c>
      <c r="BS4" s="326" t="s">
        <v>214</v>
      </c>
      <c r="BT4" s="326" t="s">
        <v>659</v>
      </c>
      <c r="BU4" s="326" t="s">
        <v>174</v>
      </c>
      <c r="BV4" s="326" t="s">
        <v>398</v>
      </c>
      <c r="BW4" s="326" t="s">
        <v>401</v>
      </c>
      <c r="BX4" s="326" t="s">
        <v>175</v>
      </c>
      <c r="BY4" s="326" t="s">
        <v>404</v>
      </c>
      <c r="BZ4" s="326" t="s">
        <v>748</v>
      </c>
      <c r="CA4" s="326" t="s">
        <v>409</v>
      </c>
      <c r="CB4" s="326" t="s">
        <v>411</v>
      </c>
      <c r="CC4" s="326" t="s">
        <v>176</v>
      </c>
      <c r="CD4" s="326" t="s">
        <v>414</v>
      </c>
      <c r="CE4" s="326" t="s">
        <v>415</v>
      </c>
      <c r="CF4" s="326" t="s">
        <v>185</v>
      </c>
      <c r="CG4" s="326" t="s">
        <v>529</v>
      </c>
      <c r="CH4" s="326" t="s">
        <v>662</v>
      </c>
      <c r="CI4" s="326" t="s">
        <v>416</v>
      </c>
      <c r="CJ4" s="326" t="s">
        <v>774</v>
      </c>
      <c r="CK4" s="326" t="s">
        <v>775</v>
      </c>
      <c r="CL4" s="326" t="s">
        <v>420</v>
      </c>
      <c r="CM4" s="326" t="s">
        <v>177</v>
      </c>
      <c r="CN4" s="326" t="s">
        <v>421</v>
      </c>
      <c r="CO4" s="326" t="s">
        <v>178</v>
      </c>
      <c r="CP4" s="326" t="s">
        <v>423</v>
      </c>
      <c r="CQ4" s="326" t="s">
        <v>179</v>
      </c>
      <c r="CR4" s="326" t="s">
        <v>776</v>
      </c>
      <c r="CS4" s="450" t="s">
        <v>186</v>
      </c>
    </row>
    <row r="5" spans="1:97" x14ac:dyDescent="0.25">
      <c r="A5" s="453" t="s">
        <v>777</v>
      </c>
      <c r="B5" s="454"/>
      <c r="C5" s="454">
        <v>30</v>
      </c>
      <c r="D5" s="454">
        <v>28</v>
      </c>
      <c r="E5" s="454">
        <v>6</v>
      </c>
      <c r="F5" s="454">
        <v>20</v>
      </c>
      <c r="G5" s="454">
        <v>20</v>
      </c>
      <c r="H5" s="454">
        <v>32</v>
      </c>
      <c r="I5" s="454"/>
      <c r="J5" s="454">
        <v>1</v>
      </c>
      <c r="K5" s="454"/>
      <c r="L5" s="454"/>
      <c r="M5" s="454"/>
      <c r="N5" s="454"/>
      <c r="O5" s="454">
        <v>38</v>
      </c>
      <c r="P5" s="454">
        <v>4</v>
      </c>
      <c r="Q5" s="454"/>
      <c r="R5" s="454"/>
      <c r="S5" s="454">
        <v>32</v>
      </c>
      <c r="T5" s="454"/>
      <c r="U5" s="454">
        <v>11</v>
      </c>
      <c r="V5" s="454"/>
      <c r="W5" s="454"/>
      <c r="X5" s="454"/>
      <c r="Y5" s="454">
        <v>42</v>
      </c>
      <c r="Z5" s="454">
        <v>30</v>
      </c>
      <c r="AA5" s="454"/>
      <c r="AB5" s="454"/>
      <c r="AC5" s="454"/>
      <c r="AD5" s="454"/>
      <c r="AE5" s="454"/>
      <c r="AF5" s="454"/>
      <c r="AG5" s="454"/>
      <c r="AH5" s="454">
        <v>30</v>
      </c>
      <c r="AI5" s="454"/>
      <c r="AJ5" s="454">
        <v>30</v>
      </c>
      <c r="AK5" s="454"/>
      <c r="AL5" s="454">
        <v>18</v>
      </c>
      <c r="AM5" s="454"/>
      <c r="AN5" s="454">
        <v>30</v>
      </c>
      <c r="AO5" s="454"/>
      <c r="AP5" s="454">
        <v>8</v>
      </c>
      <c r="AQ5" s="454">
        <v>40</v>
      </c>
      <c r="AR5" s="454">
        <v>80</v>
      </c>
      <c r="AS5" s="454">
        <v>45</v>
      </c>
      <c r="AT5" s="454">
        <v>10</v>
      </c>
      <c r="AU5" s="454"/>
      <c r="AV5" s="454"/>
      <c r="AW5" s="454"/>
      <c r="AX5" s="454">
        <v>70</v>
      </c>
      <c r="AY5" s="454">
        <v>40</v>
      </c>
      <c r="AZ5" s="454">
        <v>42</v>
      </c>
      <c r="BA5" s="454"/>
      <c r="BB5" s="454">
        <v>2</v>
      </c>
      <c r="BC5" s="454"/>
      <c r="BD5" s="454"/>
      <c r="BE5" s="454">
        <v>5</v>
      </c>
      <c r="BF5" s="454"/>
      <c r="BG5" s="454">
        <v>2</v>
      </c>
      <c r="BH5" s="454"/>
      <c r="BI5" s="454"/>
      <c r="BJ5" s="454"/>
      <c r="BK5" s="454"/>
      <c r="BL5" s="454"/>
      <c r="BM5" s="454"/>
      <c r="BN5" s="454">
        <v>30</v>
      </c>
      <c r="BO5" s="454"/>
      <c r="BP5" s="454"/>
      <c r="BQ5" s="454">
        <v>13</v>
      </c>
      <c r="BR5" s="454">
        <v>32</v>
      </c>
      <c r="BS5" s="454"/>
      <c r="BT5" s="454"/>
      <c r="BU5" s="454">
        <v>45</v>
      </c>
      <c r="BV5" s="454">
        <v>6</v>
      </c>
      <c r="BW5" s="454">
        <v>10</v>
      </c>
      <c r="BX5" s="454">
        <v>10</v>
      </c>
      <c r="BY5" s="454">
        <v>30</v>
      </c>
      <c r="BZ5" s="454"/>
      <c r="CA5" s="454">
        <v>30</v>
      </c>
      <c r="CB5" s="454"/>
      <c r="CC5" s="454">
        <v>63</v>
      </c>
      <c r="CD5" s="454">
        <v>51</v>
      </c>
      <c r="CE5" s="454"/>
      <c r="CF5" s="454"/>
      <c r="CG5" s="454">
        <v>10</v>
      </c>
      <c r="CH5" s="454"/>
      <c r="CI5" s="454"/>
      <c r="CJ5" s="454">
        <v>20</v>
      </c>
      <c r="CK5" s="454"/>
      <c r="CL5" s="454"/>
      <c r="CM5" s="454"/>
      <c r="CN5" s="454">
        <v>8</v>
      </c>
      <c r="CO5" s="454">
        <v>6</v>
      </c>
      <c r="CP5" s="454"/>
      <c r="CQ5" s="454">
        <v>28</v>
      </c>
      <c r="CR5" s="454"/>
      <c r="CS5" s="451">
        <v>1138</v>
      </c>
    </row>
    <row r="6" spans="1:97" x14ac:dyDescent="0.25">
      <c r="A6" s="453" t="s">
        <v>778</v>
      </c>
      <c r="B6" s="454">
        <v>20</v>
      </c>
      <c r="C6" s="454"/>
      <c r="D6" s="454">
        <v>30</v>
      </c>
      <c r="E6" s="454">
        <v>10</v>
      </c>
      <c r="F6" s="454">
        <v>30</v>
      </c>
      <c r="G6" s="454">
        <v>20</v>
      </c>
      <c r="H6" s="454"/>
      <c r="I6" s="454"/>
      <c r="J6" s="454">
        <v>1</v>
      </c>
      <c r="K6" s="454"/>
      <c r="L6" s="454"/>
      <c r="M6" s="454"/>
      <c r="N6" s="454">
        <v>30</v>
      </c>
      <c r="O6" s="454">
        <v>40</v>
      </c>
      <c r="P6" s="454">
        <v>2</v>
      </c>
      <c r="Q6" s="454"/>
      <c r="R6" s="454"/>
      <c r="S6" s="454"/>
      <c r="T6" s="454"/>
      <c r="U6" s="454">
        <v>8</v>
      </c>
      <c r="V6" s="454"/>
      <c r="W6" s="454"/>
      <c r="X6" s="454">
        <v>30</v>
      </c>
      <c r="Y6" s="454">
        <v>44</v>
      </c>
      <c r="Z6" s="454"/>
      <c r="AA6" s="454"/>
      <c r="AB6" s="454">
        <v>30</v>
      </c>
      <c r="AC6" s="454">
        <v>30</v>
      </c>
      <c r="AD6" s="454">
        <v>30</v>
      </c>
      <c r="AE6" s="454">
        <v>20</v>
      </c>
      <c r="AF6" s="454"/>
      <c r="AG6" s="454">
        <v>30</v>
      </c>
      <c r="AH6" s="454"/>
      <c r="AI6" s="454"/>
      <c r="AJ6" s="454"/>
      <c r="AK6" s="454"/>
      <c r="AL6" s="454">
        <v>10</v>
      </c>
      <c r="AM6" s="454">
        <v>30</v>
      </c>
      <c r="AN6" s="454"/>
      <c r="AO6" s="454">
        <v>40</v>
      </c>
      <c r="AP6" s="454">
        <v>8</v>
      </c>
      <c r="AQ6" s="454"/>
      <c r="AR6" s="454"/>
      <c r="AS6" s="454">
        <v>1</v>
      </c>
      <c r="AT6" s="454">
        <v>40</v>
      </c>
      <c r="AU6" s="454"/>
      <c r="AV6" s="454">
        <v>40</v>
      </c>
      <c r="AW6" s="454">
        <v>40</v>
      </c>
      <c r="AX6" s="454">
        <v>0</v>
      </c>
      <c r="AY6" s="454"/>
      <c r="AZ6" s="454"/>
      <c r="BA6" s="454">
        <v>40</v>
      </c>
      <c r="BB6" s="454">
        <v>1</v>
      </c>
      <c r="BC6" s="454">
        <v>40</v>
      </c>
      <c r="BD6" s="454">
        <v>40</v>
      </c>
      <c r="BE6" s="454">
        <v>5</v>
      </c>
      <c r="BF6" s="454"/>
      <c r="BG6" s="454"/>
      <c r="BH6" s="454"/>
      <c r="BI6" s="454"/>
      <c r="BJ6" s="454"/>
      <c r="BK6" s="454"/>
      <c r="BL6" s="454"/>
      <c r="BM6" s="454">
        <v>15</v>
      </c>
      <c r="BN6" s="454"/>
      <c r="BO6" s="454"/>
      <c r="BP6" s="454">
        <v>32</v>
      </c>
      <c r="BQ6" s="454">
        <v>50</v>
      </c>
      <c r="BR6" s="454">
        <v>4</v>
      </c>
      <c r="BS6" s="454">
        <v>20</v>
      </c>
      <c r="BT6" s="454">
        <v>30</v>
      </c>
      <c r="BU6" s="454">
        <v>23</v>
      </c>
      <c r="BV6" s="454">
        <v>28</v>
      </c>
      <c r="BW6" s="454">
        <v>10</v>
      </c>
      <c r="BX6" s="454"/>
      <c r="BY6" s="454"/>
      <c r="BZ6" s="454"/>
      <c r="CA6" s="454"/>
      <c r="CB6" s="454"/>
      <c r="CC6" s="454">
        <v>23</v>
      </c>
      <c r="CD6" s="454">
        <v>72</v>
      </c>
      <c r="CE6" s="454"/>
      <c r="CF6" s="454"/>
      <c r="CG6" s="454">
        <v>10</v>
      </c>
      <c r="CH6" s="454"/>
      <c r="CI6" s="454">
        <v>25</v>
      </c>
      <c r="CJ6" s="454">
        <v>20</v>
      </c>
      <c r="CK6" s="454">
        <v>30</v>
      </c>
      <c r="CL6" s="454"/>
      <c r="CM6" s="454">
        <v>30</v>
      </c>
      <c r="CN6" s="454">
        <v>8</v>
      </c>
      <c r="CO6" s="454">
        <v>29</v>
      </c>
      <c r="CP6" s="454"/>
      <c r="CQ6" s="454">
        <v>32</v>
      </c>
      <c r="CR6" s="454"/>
      <c r="CS6" s="451">
        <v>1231</v>
      </c>
    </row>
    <row r="7" spans="1:97" x14ac:dyDescent="0.25">
      <c r="A7" s="453" t="s">
        <v>779</v>
      </c>
      <c r="B7" s="454"/>
      <c r="C7" s="454">
        <v>27</v>
      </c>
      <c r="D7" s="454">
        <v>32</v>
      </c>
      <c r="E7" s="454">
        <v>59</v>
      </c>
      <c r="F7" s="454">
        <v>31</v>
      </c>
      <c r="G7" s="454">
        <v>63</v>
      </c>
      <c r="H7" s="454">
        <v>32</v>
      </c>
      <c r="I7" s="454">
        <v>4</v>
      </c>
      <c r="J7" s="454"/>
      <c r="K7" s="454">
        <v>2</v>
      </c>
      <c r="L7" s="454">
        <v>16</v>
      </c>
      <c r="M7" s="454">
        <v>2</v>
      </c>
      <c r="N7" s="454">
        <v>25</v>
      </c>
      <c r="O7" s="454">
        <v>49</v>
      </c>
      <c r="P7" s="454">
        <v>4</v>
      </c>
      <c r="Q7" s="454">
        <v>35</v>
      </c>
      <c r="R7" s="454">
        <v>21</v>
      </c>
      <c r="S7" s="454">
        <v>33</v>
      </c>
      <c r="T7" s="454">
        <v>2</v>
      </c>
      <c r="U7" s="454">
        <v>14</v>
      </c>
      <c r="V7" s="454">
        <v>23</v>
      </c>
      <c r="W7" s="454">
        <v>3</v>
      </c>
      <c r="X7" s="454">
        <v>25</v>
      </c>
      <c r="Y7" s="454">
        <v>42</v>
      </c>
      <c r="Z7" s="454">
        <v>1</v>
      </c>
      <c r="AA7" s="454">
        <v>0</v>
      </c>
      <c r="AB7" s="454"/>
      <c r="AC7" s="454"/>
      <c r="AD7" s="454"/>
      <c r="AE7" s="454"/>
      <c r="AF7" s="454">
        <v>17</v>
      </c>
      <c r="AG7" s="454">
        <v>3</v>
      </c>
      <c r="AH7" s="454">
        <v>1</v>
      </c>
      <c r="AI7" s="454"/>
      <c r="AJ7" s="454">
        <v>0</v>
      </c>
      <c r="AK7" s="454">
        <v>0</v>
      </c>
      <c r="AL7" s="454">
        <v>24</v>
      </c>
      <c r="AM7" s="454">
        <v>2</v>
      </c>
      <c r="AN7" s="454">
        <v>5</v>
      </c>
      <c r="AO7" s="454"/>
      <c r="AP7" s="454"/>
      <c r="AQ7" s="454"/>
      <c r="AR7" s="454"/>
      <c r="AS7" s="454">
        <v>25</v>
      </c>
      <c r="AT7" s="454">
        <v>10</v>
      </c>
      <c r="AU7" s="454">
        <v>3</v>
      </c>
      <c r="AV7" s="454"/>
      <c r="AW7" s="454"/>
      <c r="AX7" s="454">
        <v>50</v>
      </c>
      <c r="AY7" s="454"/>
      <c r="AZ7" s="454">
        <v>2</v>
      </c>
      <c r="BA7" s="454"/>
      <c r="BB7" s="454">
        <v>3</v>
      </c>
      <c r="BC7" s="454"/>
      <c r="BD7" s="454"/>
      <c r="BE7" s="454">
        <v>5</v>
      </c>
      <c r="BF7" s="454">
        <v>10</v>
      </c>
      <c r="BG7" s="454">
        <v>2</v>
      </c>
      <c r="BH7" s="454"/>
      <c r="BI7" s="454"/>
      <c r="BJ7" s="454"/>
      <c r="BK7" s="454"/>
      <c r="BL7" s="454">
        <v>2</v>
      </c>
      <c r="BM7" s="454">
        <v>32</v>
      </c>
      <c r="BN7" s="454">
        <v>28</v>
      </c>
      <c r="BO7" s="454">
        <v>3</v>
      </c>
      <c r="BP7" s="454">
        <v>31</v>
      </c>
      <c r="BQ7" s="454">
        <v>72</v>
      </c>
      <c r="BR7" s="454">
        <v>34</v>
      </c>
      <c r="BS7" s="454">
        <v>0</v>
      </c>
      <c r="BT7" s="454">
        <v>28</v>
      </c>
      <c r="BU7" s="454">
        <v>60</v>
      </c>
      <c r="BV7" s="454">
        <v>7</v>
      </c>
      <c r="BW7" s="454">
        <v>10</v>
      </c>
      <c r="BX7" s="454">
        <v>11</v>
      </c>
      <c r="BY7" s="454">
        <v>28</v>
      </c>
      <c r="BZ7" s="454">
        <v>22</v>
      </c>
      <c r="CA7" s="454">
        <v>37</v>
      </c>
      <c r="CB7" s="454"/>
      <c r="CC7" s="454">
        <v>82</v>
      </c>
      <c r="CD7" s="454">
        <v>52</v>
      </c>
      <c r="CE7" s="454"/>
      <c r="CF7" s="454">
        <v>37</v>
      </c>
      <c r="CG7" s="454">
        <v>5</v>
      </c>
      <c r="CH7" s="454">
        <v>2</v>
      </c>
      <c r="CI7" s="454">
        <v>25</v>
      </c>
      <c r="CJ7" s="454">
        <v>20</v>
      </c>
      <c r="CK7" s="454"/>
      <c r="CL7" s="454">
        <v>5</v>
      </c>
      <c r="CM7" s="454">
        <v>0</v>
      </c>
      <c r="CN7" s="454">
        <v>12</v>
      </c>
      <c r="CO7" s="454">
        <v>11</v>
      </c>
      <c r="CP7" s="454"/>
      <c r="CQ7" s="454">
        <v>51</v>
      </c>
      <c r="CR7" s="454"/>
      <c r="CS7" s="451">
        <v>1414</v>
      </c>
    </row>
    <row r="8" spans="1:97" x14ac:dyDescent="0.25">
      <c r="A8" s="453" t="s">
        <v>780</v>
      </c>
      <c r="B8" s="454"/>
      <c r="C8" s="454">
        <v>0</v>
      </c>
      <c r="D8" s="454">
        <v>22</v>
      </c>
      <c r="E8" s="454">
        <v>32</v>
      </c>
      <c r="F8" s="454">
        <v>32</v>
      </c>
      <c r="G8" s="454">
        <v>54</v>
      </c>
      <c r="H8" s="454">
        <v>32</v>
      </c>
      <c r="I8" s="454"/>
      <c r="J8" s="454">
        <v>2</v>
      </c>
      <c r="K8" s="454">
        <v>0</v>
      </c>
      <c r="L8" s="454">
        <v>17</v>
      </c>
      <c r="M8" s="454">
        <v>8</v>
      </c>
      <c r="N8" s="454">
        <v>30</v>
      </c>
      <c r="O8" s="454">
        <v>30</v>
      </c>
      <c r="P8" s="454">
        <v>28</v>
      </c>
      <c r="Q8" s="454">
        <v>60</v>
      </c>
      <c r="R8" s="454">
        <v>16</v>
      </c>
      <c r="S8" s="454">
        <v>32</v>
      </c>
      <c r="T8" s="454">
        <v>0</v>
      </c>
      <c r="U8" s="454">
        <v>0</v>
      </c>
      <c r="V8" s="454">
        <v>0</v>
      </c>
      <c r="W8" s="454">
        <v>3</v>
      </c>
      <c r="X8" s="454">
        <v>30</v>
      </c>
      <c r="Y8" s="454">
        <v>30</v>
      </c>
      <c r="Z8" s="454">
        <v>4</v>
      </c>
      <c r="AA8" s="454">
        <v>29</v>
      </c>
      <c r="AB8" s="454"/>
      <c r="AC8" s="454"/>
      <c r="AD8" s="454"/>
      <c r="AE8" s="454">
        <v>20</v>
      </c>
      <c r="AF8" s="454">
        <v>19</v>
      </c>
      <c r="AG8" s="454">
        <v>0</v>
      </c>
      <c r="AH8" s="454">
        <v>2</v>
      </c>
      <c r="AI8" s="454"/>
      <c r="AJ8" s="454">
        <v>2</v>
      </c>
      <c r="AK8" s="454">
        <v>2</v>
      </c>
      <c r="AL8" s="454">
        <v>5</v>
      </c>
      <c r="AM8" s="454">
        <v>35</v>
      </c>
      <c r="AN8" s="454">
        <v>14</v>
      </c>
      <c r="AO8" s="454"/>
      <c r="AP8" s="454"/>
      <c r="AQ8" s="454"/>
      <c r="AR8" s="454"/>
      <c r="AS8" s="454">
        <v>3</v>
      </c>
      <c r="AT8" s="454">
        <v>10</v>
      </c>
      <c r="AU8" s="454"/>
      <c r="AV8" s="454"/>
      <c r="AW8" s="454"/>
      <c r="AX8" s="454">
        <v>50</v>
      </c>
      <c r="AY8" s="454"/>
      <c r="AZ8" s="454">
        <v>2</v>
      </c>
      <c r="BA8" s="454"/>
      <c r="BB8" s="454">
        <v>2</v>
      </c>
      <c r="BC8" s="454"/>
      <c r="BD8" s="454"/>
      <c r="BE8" s="454">
        <v>0</v>
      </c>
      <c r="BF8" s="454"/>
      <c r="BG8" s="454">
        <v>2</v>
      </c>
      <c r="BH8" s="454"/>
      <c r="BI8" s="454"/>
      <c r="BJ8" s="454"/>
      <c r="BK8" s="454"/>
      <c r="BL8" s="454">
        <v>0</v>
      </c>
      <c r="BM8" s="454">
        <v>32</v>
      </c>
      <c r="BN8" s="454">
        <v>30</v>
      </c>
      <c r="BO8" s="454">
        <v>0</v>
      </c>
      <c r="BP8" s="454">
        <v>30</v>
      </c>
      <c r="BQ8" s="454">
        <v>58</v>
      </c>
      <c r="BR8" s="454">
        <v>30</v>
      </c>
      <c r="BS8" s="454">
        <v>3</v>
      </c>
      <c r="BT8" s="454">
        <v>34</v>
      </c>
      <c r="BU8" s="454">
        <v>59</v>
      </c>
      <c r="BV8" s="454">
        <v>4</v>
      </c>
      <c r="BW8" s="454"/>
      <c r="BX8" s="454">
        <v>11</v>
      </c>
      <c r="BY8" s="454">
        <v>30</v>
      </c>
      <c r="BZ8" s="454">
        <v>15</v>
      </c>
      <c r="CA8" s="454">
        <v>31</v>
      </c>
      <c r="CB8" s="454"/>
      <c r="CC8" s="454">
        <v>37</v>
      </c>
      <c r="CD8" s="454">
        <v>36</v>
      </c>
      <c r="CE8" s="454"/>
      <c r="CF8" s="454">
        <v>35</v>
      </c>
      <c r="CG8" s="454">
        <v>5</v>
      </c>
      <c r="CH8" s="454">
        <v>0</v>
      </c>
      <c r="CI8" s="454">
        <v>27</v>
      </c>
      <c r="CJ8" s="454">
        <v>60</v>
      </c>
      <c r="CK8" s="454"/>
      <c r="CL8" s="454">
        <v>0</v>
      </c>
      <c r="CM8" s="454">
        <v>3</v>
      </c>
      <c r="CN8" s="454">
        <v>0</v>
      </c>
      <c r="CO8" s="454">
        <v>21</v>
      </c>
      <c r="CP8" s="454">
        <v>25</v>
      </c>
      <c r="CQ8" s="454">
        <v>48</v>
      </c>
      <c r="CR8" s="454"/>
      <c r="CS8" s="451">
        <v>1323</v>
      </c>
    </row>
    <row r="9" spans="1:97" x14ac:dyDescent="0.25">
      <c r="A9" s="453" t="s">
        <v>781</v>
      </c>
      <c r="B9" s="454"/>
      <c r="C9" s="454"/>
      <c r="D9" s="454">
        <v>20</v>
      </c>
      <c r="E9" s="454"/>
      <c r="F9" s="454">
        <v>30</v>
      </c>
      <c r="G9" s="454">
        <v>34</v>
      </c>
      <c r="H9" s="454">
        <v>32</v>
      </c>
      <c r="I9" s="454"/>
      <c r="J9" s="454">
        <v>2</v>
      </c>
      <c r="K9" s="454"/>
      <c r="L9" s="454">
        <v>15</v>
      </c>
      <c r="M9" s="454"/>
      <c r="N9" s="454"/>
      <c r="O9" s="454">
        <v>25</v>
      </c>
      <c r="P9" s="454"/>
      <c r="Q9" s="454"/>
      <c r="R9" s="454"/>
      <c r="S9" s="454">
        <v>30</v>
      </c>
      <c r="T9" s="454"/>
      <c r="U9" s="454"/>
      <c r="V9" s="454">
        <v>20</v>
      </c>
      <c r="W9" s="454">
        <v>30</v>
      </c>
      <c r="X9" s="454"/>
      <c r="Y9" s="454">
        <v>30</v>
      </c>
      <c r="Z9" s="454"/>
      <c r="AA9" s="454">
        <v>30</v>
      </c>
      <c r="AB9" s="454"/>
      <c r="AC9" s="454"/>
      <c r="AD9" s="454"/>
      <c r="AE9" s="454"/>
      <c r="AF9" s="454"/>
      <c r="AG9" s="454">
        <v>4</v>
      </c>
      <c r="AH9" s="454">
        <v>30</v>
      </c>
      <c r="AI9" s="454">
        <v>2</v>
      </c>
      <c r="AJ9" s="454"/>
      <c r="AK9" s="454"/>
      <c r="AL9" s="454">
        <v>10</v>
      </c>
      <c r="AM9" s="454">
        <v>2</v>
      </c>
      <c r="AN9" s="454">
        <v>32</v>
      </c>
      <c r="AO9" s="454"/>
      <c r="AP9" s="454"/>
      <c r="AQ9" s="454"/>
      <c r="AR9" s="454"/>
      <c r="AS9" s="454">
        <v>2</v>
      </c>
      <c r="AT9" s="454">
        <v>10</v>
      </c>
      <c r="AU9" s="454">
        <v>3</v>
      </c>
      <c r="AV9" s="454"/>
      <c r="AW9" s="454"/>
      <c r="AX9" s="454">
        <v>15</v>
      </c>
      <c r="AY9" s="454">
        <v>11</v>
      </c>
      <c r="AZ9" s="454">
        <v>2</v>
      </c>
      <c r="BA9" s="454"/>
      <c r="BB9" s="454">
        <v>3</v>
      </c>
      <c r="BC9" s="454"/>
      <c r="BD9" s="454"/>
      <c r="BE9" s="454">
        <v>3</v>
      </c>
      <c r="BF9" s="454"/>
      <c r="BG9" s="454">
        <v>2</v>
      </c>
      <c r="BH9" s="454">
        <v>1</v>
      </c>
      <c r="BI9" s="454"/>
      <c r="BJ9" s="454"/>
      <c r="BK9" s="454"/>
      <c r="BL9" s="454"/>
      <c r="BM9" s="454"/>
      <c r="BN9" s="454">
        <v>1</v>
      </c>
      <c r="BO9" s="454"/>
      <c r="BP9" s="454">
        <v>2</v>
      </c>
      <c r="BQ9" s="454">
        <v>28</v>
      </c>
      <c r="BR9" s="454">
        <v>30</v>
      </c>
      <c r="BS9" s="454"/>
      <c r="BT9" s="454"/>
      <c r="BU9" s="454">
        <v>51</v>
      </c>
      <c r="BV9" s="454"/>
      <c r="BW9" s="454"/>
      <c r="BX9" s="454">
        <v>15</v>
      </c>
      <c r="BY9" s="454">
        <v>5</v>
      </c>
      <c r="BZ9" s="454"/>
      <c r="CA9" s="454"/>
      <c r="CB9" s="454"/>
      <c r="CC9" s="454">
        <v>45</v>
      </c>
      <c r="CD9" s="454">
        <v>34</v>
      </c>
      <c r="CE9" s="454"/>
      <c r="CF9" s="454"/>
      <c r="CG9" s="454">
        <v>10</v>
      </c>
      <c r="CH9" s="454"/>
      <c r="CI9" s="454"/>
      <c r="CJ9" s="454">
        <v>20</v>
      </c>
      <c r="CK9" s="454"/>
      <c r="CL9" s="454"/>
      <c r="CM9" s="454"/>
      <c r="CN9" s="454">
        <v>5</v>
      </c>
      <c r="CO9" s="454"/>
      <c r="CP9" s="454">
        <v>30</v>
      </c>
      <c r="CQ9" s="454">
        <v>28</v>
      </c>
      <c r="CR9" s="454"/>
      <c r="CS9" s="451">
        <v>734</v>
      </c>
    </row>
    <row r="10" spans="1:97" x14ac:dyDescent="0.25">
      <c r="A10" s="453" t="s">
        <v>782</v>
      </c>
      <c r="B10" s="454"/>
      <c r="C10" s="454"/>
      <c r="D10" s="454">
        <v>20</v>
      </c>
      <c r="E10" s="454"/>
      <c r="F10" s="454">
        <v>30</v>
      </c>
      <c r="G10" s="454"/>
      <c r="H10" s="454">
        <v>30</v>
      </c>
      <c r="I10" s="454"/>
      <c r="J10" s="454">
        <v>2</v>
      </c>
      <c r="K10" s="454"/>
      <c r="L10" s="454">
        <v>15</v>
      </c>
      <c r="M10" s="454"/>
      <c r="N10" s="454">
        <v>30</v>
      </c>
      <c r="O10" s="454">
        <v>25</v>
      </c>
      <c r="P10" s="454"/>
      <c r="Q10" s="454">
        <v>60</v>
      </c>
      <c r="R10" s="454"/>
      <c r="S10" s="454">
        <v>30</v>
      </c>
      <c r="T10" s="454"/>
      <c r="U10" s="454">
        <v>5</v>
      </c>
      <c r="V10" s="454"/>
      <c r="W10" s="454"/>
      <c r="X10" s="454">
        <v>30</v>
      </c>
      <c r="Y10" s="454">
        <v>30</v>
      </c>
      <c r="Z10" s="454"/>
      <c r="AA10" s="454"/>
      <c r="AB10" s="454"/>
      <c r="AC10" s="454"/>
      <c r="AD10" s="454">
        <v>30</v>
      </c>
      <c r="AE10" s="454"/>
      <c r="AF10" s="454"/>
      <c r="AG10" s="454">
        <v>4</v>
      </c>
      <c r="AH10" s="454"/>
      <c r="AI10" s="454">
        <v>6</v>
      </c>
      <c r="AJ10" s="454"/>
      <c r="AK10" s="454"/>
      <c r="AL10" s="454">
        <v>15</v>
      </c>
      <c r="AM10" s="454">
        <v>6</v>
      </c>
      <c r="AN10" s="454">
        <v>2</v>
      </c>
      <c r="AO10" s="454"/>
      <c r="AP10" s="454"/>
      <c r="AQ10" s="454"/>
      <c r="AR10" s="454"/>
      <c r="AS10" s="454">
        <v>5</v>
      </c>
      <c r="AT10" s="454"/>
      <c r="AU10" s="454">
        <v>3</v>
      </c>
      <c r="AV10" s="454"/>
      <c r="AW10" s="454"/>
      <c r="AX10" s="454">
        <v>15</v>
      </c>
      <c r="AY10" s="454">
        <v>5</v>
      </c>
      <c r="AZ10" s="454"/>
      <c r="BA10" s="454"/>
      <c r="BB10" s="454">
        <v>1</v>
      </c>
      <c r="BC10" s="454"/>
      <c r="BD10" s="454"/>
      <c r="BE10" s="454">
        <v>0</v>
      </c>
      <c r="BF10" s="454">
        <v>10</v>
      </c>
      <c r="BG10" s="454"/>
      <c r="BH10" s="454"/>
      <c r="BI10" s="454"/>
      <c r="BJ10" s="454"/>
      <c r="BK10" s="454"/>
      <c r="BL10" s="454"/>
      <c r="BM10" s="454"/>
      <c r="BN10" s="454">
        <v>30</v>
      </c>
      <c r="BO10" s="454"/>
      <c r="BP10" s="454">
        <v>30</v>
      </c>
      <c r="BQ10" s="454">
        <v>39</v>
      </c>
      <c r="BR10" s="454">
        <v>30</v>
      </c>
      <c r="BS10" s="454"/>
      <c r="BT10" s="454">
        <v>30</v>
      </c>
      <c r="BU10" s="454">
        <v>41</v>
      </c>
      <c r="BV10" s="454"/>
      <c r="BW10" s="454"/>
      <c r="BX10" s="454">
        <v>10</v>
      </c>
      <c r="BY10" s="454">
        <v>30</v>
      </c>
      <c r="BZ10" s="454"/>
      <c r="CA10" s="454"/>
      <c r="CB10" s="454"/>
      <c r="CC10" s="454">
        <v>15</v>
      </c>
      <c r="CD10" s="454">
        <v>20</v>
      </c>
      <c r="CE10" s="454"/>
      <c r="CF10" s="454"/>
      <c r="CG10" s="454">
        <v>10</v>
      </c>
      <c r="CH10" s="454"/>
      <c r="CI10" s="454"/>
      <c r="CJ10" s="454">
        <v>20</v>
      </c>
      <c r="CK10" s="454"/>
      <c r="CL10" s="454"/>
      <c r="CM10" s="454">
        <v>30</v>
      </c>
      <c r="CN10" s="454">
        <v>0</v>
      </c>
      <c r="CO10" s="454">
        <v>21</v>
      </c>
      <c r="CP10" s="454"/>
      <c r="CQ10" s="454">
        <v>20</v>
      </c>
      <c r="CR10" s="454"/>
      <c r="CS10" s="451">
        <v>785</v>
      </c>
    </row>
    <row r="11" spans="1:97" x14ac:dyDescent="0.25">
      <c r="A11" s="455" t="s">
        <v>783</v>
      </c>
      <c r="B11" s="454"/>
      <c r="C11" s="454"/>
      <c r="D11" s="454">
        <v>20</v>
      </c>
      <c r="E11" s="454"/>
      <c r="F11" s="454">
        <v>30</v>
      </c>
      <c r="G11" s="454"/>
      <c r="H11" s="454">
        <v>20</v>
      </c>
      <c r="I11" s="454"/>
      <c r="J11" s="454"/>
      <c r="K11" s="454"/>
      <c r="L11" s="454"/>
      <c r="M11" s="454"/>
      <c r="N11" s="454"/>
      <c r="O11" s="454">
        <v>25</v>
      </c>
      <c r="P11" s="454"/>
      <c r="Q11" s="454"/>
      <c r="R11" s="454"/>
      <c r="S11" s="454">
        <v>30</v>
      </c>
      <c r="T11" s="454"/>
      <c r="U11" s="454">
        <v>5</v>
      </c>
      <c r="V11" s="454">
        <v>20</v>
      </c>
      <c r="W11" s="454">
        <v>30</v>
      </c>
      <c r="X11" s="454">
        <v>1</v>
      </c>
      <c r="Y11" s="454">
        <v>30</v>
      </c>
      <c r="Z11" s="454"/>
      <c r="AA11" s="454">
        <v>30</v>
      </c>
      <c r="AB11" s="454"/>
      <c r="AC11" s="454"/>
      <c r="AD11" s="454"/>
      <c r="AE11" s="454"/>
      <c r="AF11" s="454"/>
      <c r="AG11" s="454">
        <v>4</v>
      </c>
      <c r="AH11" s="454">
        <v>30</v>
      </c>
      <c r="AI11" s="454">
        <v>2</v>
      </c>
      <c r="AJ11" s="454"/>
      <c r="AK11" s="454"/>
      <c r="AL11" s="454">
        <v>15</v>
      </c>
      <c r="AM11" s="454">
        <v>5</v>
      </c>
      <c r="AN11" s="454">
        <v>32</v>
      </c>
      <c r="AO11" s="454"/>
      <c r="AP11" s="454"/>
      <c r="AQ11" s="454"/>
      <c r="AR11" s="454"/>
      <c r="AS11" s="454"/>
      <c r="AT11" s="454"/>
      <c r="AU11" s="454">
        <v>3</v>
      </c>
      <c r="AV11" s="454"/>
      <c r="AW11" s="454"/>
      <c r="AX11" s="454">
        <v>10</v>
      </c>
      <c r="AY11" s="454">
        <v>11</v>
      </c>
      <c r="AZ11" s="454"/>
      <c r="BA11" s="454"/>
      <c r="BB11" s="454">
        <v>1</v>
      </c>
      <c r="BC11" s="454"/>
      <c r="BD11" s="454"/>
      <c r="BE11" s="454">
        <v>3</v>
      </c>
      <c r="BF11" s="454"/>
      <c r="BG11" s="454"/>
      <c r="BH11" s="454"/>
      <c r="BI11" s="454"/>
      <c r="BJ11" s="454"/>
      <c r="BK11" s="454"/>
      <c r="BL11" s="454"/>
      <c r="BM11" s="454"/>
      <c r="BN11" s="454"/>
      <c r="BO11" s="454"/>
      <c r="BP11" s="454"/>
      <c r="BQ11" s="454">
        <v>24</v>
      </c>
      <c r="BR11" s="454">
        <v>30</v>
      </c>
      <c r="BS11" s="454"/>
      <c r="BT11" s="454"/>
      <c r="BU11" s="454">
        <v>54</v>
      </c>
      <c r="BV11" s="454"/>
      <c r="BW11" s="454"/>
      <c r="BX11" s="454">
        <v>10</v>
      </c>
      <c r="BY11" s="454">
        <v>30</v>
      </c>
      <c r="BZ11" s="454"/>
      <c r="CA11" s="454"/>
      <c r="CB11" s="454"/>
      <c r="CC11" s="454">
        <v>23</v>
      </c>
      <c r="CD11" s="454">
        <v>22</v>
      </c>
      <c r="CE11" s="454"/>
      <c r="CF11" s="454"/>
      <c r="CG11" s="454">
        <v>10</v>
      </c>
      <c r="CH11" s="454"/>
      <c r="CI11" s="454"/>
      <c r="CJ11" s="454">
        <v>20</v>
      </c>
      <c r="CK11" s="454"/>
      <c r="CL11" s="454"/>
      <c r="CM11" s="454"/>
      <c r="CN11" s="454">
        <v>5</v>
      </c>
      <c r="CO11" s="454">
        <v>5</v>
      </c>
      <c r="CP11" s="454">
        <v>30</v>
      </c>
      <c r="CQ11" s="454">
        <v>28</v>
      </c>
      <c r="CR11" s="454"/>
      <c r="CS11" s="451">
        <v>648</v>
      </c>
    </row>
    <row r="12" spans="1:97" x14ac:dyDescent="0.25">
      <c r="A12" s="453" t="s">
        <v>784</v>
      </c>
      <c r="B12" s="454"/>
      <c r="C12" s="454">
        <v>30</v>
      </c>
      <c r="D12" s="454">
        <v>30</v>
      </c>
      <c r="E12" s="454">
        <v>10</v>
      </c>
      <c r="F12" s="454">
        <v>30</v>
      </c>
      <c r="G12" s="454">
        <v>54</v>
      </c>
      <c r="H12" s="454">
        <v>32</v>
      </c>
      <c r="I12" s="454"/>
      <c r="J12" s="454">
        <v>1</v>
      </c>
      <c r="K12" s="454"/>
      <c r="L12" s="454">
        <v>16</v>
      </c>
      <c r="M12" s="454"/>
      <c r="N12" s="454">
        <v>30</v>
      </c>
      <c r="O12" s="454">
        <v>35</v>
      </c>
      <c r="P12" s="454">
        <v>4</v>
      </c>
      <c r="Q12" s="454">
        <v>60</v>
      </c>
      <c r="R12" s="454"/>
      <c r="S12" s="454">
        <v>31</v>
      </c>
      <c r="T12" s="454"/>
      <c r="U12" s="454">
        <v>6</v>
      </c>
      <c r="V12" s="454">
        <v>20</v>
      </c>
      <c r="W12" s="454"/>
      <c r="X12" s="454">
        <v>31</v>
      </c>
      <c r="Y12" s="454">
        <v>40</v>
      </c>
      <c r="Z12" s="454"/>
      <c r="AA12" s="454"/>
      <c r="AB12" s="454"/>
      <c r="AC12" s="454"/>
      <c r="AD12" s="454">
        <v>30</v>
      </c>
      <c r="AE12" s="454"/>
      <c r="AF12" s="454">
        <v>2</v>
      </c>
      <c r="AG12" s="454">
        <v>29</v>
      </c>
      <c r="AH12" s="454"/>
      <c r="AI12" s="454">
        <v>6</v>
      </c>
      <c r="AJ12" s="454"/>
      <c r="AK12" s="454"/>
      <c r="AL12" s="454">
        <v>25</v>
      </c>
      <c r="AM12" s="454">
        <v>5</v>
      </c>
      <c r="AN12" s="454">
        <v>4</v>
      </c>
      <c r="AO12" s="454"/>
      <c r="AP12" s="454"/>
      <c r="AQ12" s="454"/>
      <c r="AR12" s="454">
        <v>40</v>
      </c>
      <c r="AS12" s="454">
        <v>21</v>
      </c>
      <c r="AT12" s="454">
        <v>10</v>
      </c>
      <c r="AU12" s="454">
        <v>3</v>
      </c>
      <c r="AV12" s="454"/>
      <c r="AW12" s="454"/>
      <c r="AX12" s="454">
        <v>40</v>
      </c>
      <c r="AY12" s="454"/>
      <c r="AZ12" s="454">
        <v>2</v>
      </c>
      <c r="BA12" s="454"/>
      <c r="BB12" s="454">
        <v>2</v>
      </c>
      <c r="BC12" s="454"/>
      <c r="BD12" s="454"/>
      <c r="BE12" s="454">
        <v>5</v>
      </c>
      <c r="BF12" s="454"/>
      <c r="BG12" s="454">
        <v>2</v>
      </c>
      <c r="BH12" s="454"/>
      <c r="BI12" s="454"/>
      <c r="BJ12" s="454"/>
      <c r="BK12" s="454"/>
      <c r="BL12" s="454"/>
      <c r="BM12" s="454"/>
      <c r="BN12" s="454">
        <v>30</v>
      </c>
      <c r="BO12" s="454"/>
      <c r="BP12" s="454">
        <v>32</v>
      </c>
      <c r="BQ12" s="454">
        <v>58</v>
      </c>
      <c r="BR12" s="454">
        <v>34</v>
      </c>
      <c r="BS12" s="454"/>
      <c r="BT12" s="454">
        <v>30</v>
      </c>
      <c r="BU12" s="454">
        <v>47</v>
      </c>
      <c r="BV12" s="454">
        <v>6</v>
      </c>
      <c r="BW12" s="454">
        <v>10</v>
      </c>
      <c r="BX12" s="454">
        <v>15</v>
      </c>
      <c r="BY12" s="454">
        <v>30</v>
      </c>
      <c r="BZ12" s="454"/>
      <c r="CA12" s="454"/>
      <c r="CB12" s="454"/>
      <c r="CC12" s="454">
        <v>61</v>
      </c>
      <c r="CD12" s="454">
        <v>40</v>
      </c>
      <c r="CE12" s="454"/>
      <c r="CF12" s="454"/>
      <c r="CG12" s="454">
        <v>10</v>
      </c>
      <c r="CH12" s="454"/>
      <c r="CI12" s="454"/>
      <c r="CJ12" s="454">
        <v>20</v>
      </c>
      <c r="CK12" s="454"/>
      <c r="CL12" s="454"/>
      <c r="CM12" s="454">
        <v>30</v>
      </c>
      <c r="CN12" s="454">
        <v>5</v>
      </c>
      <c r="CO12" s="454">
        <v>31</v>
      </c>
      <c r="CP12" s="454"/>
      <c r="CQ12" s="454">
        <v>28</v>
      </c>
      <c r="CR12" s="454">
        <v>30</v>
      </c>
      <c r="CS12" s="451">
        <v>1233</v>
      </c>
    </row>
    <row r="13" spans="1:97" x14ac:dyDescent="0.25">
      <c r="A13" s="453" t="s">
        <v>785</v>
      </c>
      <c r="B13" s="454"/>
      <c r="C13" s="454"/>
      <c r="D13" s="454">
        <v>32</v>
      </c>
      <c r="E13" s="454">
        <v>4</v>
      </c>
      <c r="F13" s="454"/>
      <c r="G13" s="454">
        <v>8</v>
      </c>
      <c r="H13" s="454">
        <v>20</v>
      </c>
      <c r="I13" s="454">
        <v>3</v>
      </c>
      <c r="J13" s="454">
        <v>3</v>
      </c>
      <c r="K13" s="454"/>
      <c r="L13" s="454">
        <v>10</v>
      </c>
      <c r="M13" s="454"/>
      <c r="N13" s="454">
        <v>1</v>
      </c>
      <c r="O13" s="454">
        <v>17</v>
      </c>
      <c r="P13" s="454">
        <v>4</v>
      </c>
      <c r="Q13" s="454">
        <v>1</v>
      </c>
      <c r="R13" s="454"/>
      <c r="S13" s="454">
        <v>30</v>
      </c>
      <c r="T13" s="454"/>
      <c r="U13" s="454">
        <v>4</v>
      </c>
      <c r="V13" s="454">
        <v>10</v>
      </c>
      <c r="W13" s="454"/>
      <c r="X13" s="454"/>
      <c r="Y13" s="454">
        <v>36</v>
      </c>
      <c r="Z13" s="454"/>
      <c r="AA13" s="454">
        <v>1</v>
      </c>
      <c r="AB13" s="454"/>
      <c r="AC13" s="454"/>
      <c r="AD13" s="454"/>
      <c r="AE13" s="454"/>
      <c r="AF13" s="454">
        <v>3</v>
      </c>
      <c r="AG13" s="454"/>
      <c r="AH13" s="454"/>
      <c r="AI13" s="454"/>
      <c r="AJ13" s="454"/>
      <c r="AK13" s="454"/>
      <c r="AL13" s="454">
        <v>11</v>
      </c>
      <c r="AM13" s="454"/>
      <c r="AN13" s="454">
        <v>1</v>
      </c>
      <c r="AO13" s="454"/>
      <c r="AP13" s="454"/>
      <c r="AQ13" s="454"/>
      <c r="AR13" s="454"/>
      <c r="AS13" s="454">
        <v>4</v>
      </c>
      <c r="AT13" s="454"/>
      <c r="AU13" s="454">
        <v>3</v>
      </c>
      <c r="AV13" s="454"/>
      <c r="AW13" s="454">
        <v>25</v>
      </c>
      <c r="AX13" s="454">
        <v>45</v>
      </c>
      <c r="AY13" s="454">
        <v>25</v>
      </c>
      <c r="AZ13" s="454"/>
      <c r="BA13" s="454"/>
      <c r="BB13" s="454">
        <v>1</v>
      </c>
      <c r="BC13" s="454"/>
      <c r="BD13" s="454"/>
      <c r="BE13" s="454">
        <v>5</v>
      </c>
      <c r="BF13" s="454"/>
      <c r="BG13" s="454"/>
      <c r="BH13" s="454">
        <v>1</v>
      </c>
      <c r="BI13" s="454"/>
      <c r="BJ13" s="454"/>
      <c r="BK13" s="454"/>
      <c r="BL13" s="454"/>
      <c r="BM13" s="454">
        <v>1</v>
      </c>
      <c r="BN13" s="454">
        <v>2</v>
      </c>
      <c r="BO13" s="454"/>
      <c r="BP13" s="454">
        <v>2</v>
      </c>
      <c r="BQ13" s="454">
        <v>40</v>
      </c>
      <c r="BR13" s="454">
        <v>32</v>
      </c>
      <c r="BS13" s="454"/>
      <c r="BT13" s="454">
        <v>10</v>
      </c>
      <c r="BU13" s="454">
        <v>49</v>
      </c>
      <c r="BV13" s="454">
        <v>6</v>
      </c>
      <c r="BW13" s="454">
        <v>10</v>
      </c>
      <c r="BX13" s="454">
        <v>3</v>
      </c>
      <c r="BY13" s="454">
        <v>1</v>
      </c>
      <c r="BZ13" s="454"/>
      <c r="CA13" s="454">
        <v>30</v>
      </c>
      <c r="CB13" s="454"/>
      <c r="CC13" s="454">
        <v>38</v>
      </c>
      <c r="CD13" s="454">
        <v>20</v>
      </c>
      <c r="CE13" s="454"/>
      <c r="CF13" s="454">
        <v>30</v>
      </c>
      <c r="CG13" s="454">
        <v>5</v>
      </c>
      <c r="CH13" s="454"/>
      <c r="CI13" s="454">
        <v>2</v>
      </c>
      <c r="CJ13" s="454">
        <v>10</v>
      </c>
      <c r="CK13" s="454"/>
      <c r="CL13" s="454"/>
      <c r="CM13" s="454">
        <v>10</v>
      </c>
      <c r="CN13" s="454">
        <v>15</v>
      </c>
      <c r="CO13" s="454">
        <v>6</v>
      </c>
      <c r="CP13" s="454"/>
      <c r="CQ13" s="454">
        <v>20</v>
      </c>
      <c r="CR13" s="454">
        <v>5</v>
      </c>
      <c r="CS13" s="450">
        <v>655</v>
      </c>
    </row>
    <row r="14" spans="1:97" x14ac:dyDescent="0.25">
      <c r="A14" s="329" t="s">
        <v>186</v>
      </c>
      <c r="B14" s="330">
        <f>SUM(B5:B13)</f>
        <v>20</v>
      </c>
      <c r="C14" s="330">
        <f t="shared" ref="C14:BN14" si="0">SUM(C5:C13)</f>
        <v>87</v>
      </c>
      <c r="D14" s="330">
        <f t="shared" si="0"/>
        <v>234</v>
      </c>
      <c r="E14" s="330">
        <f t="shared" si="0"/>
        <v>121</v>
      </c>
      <c r="F14" s="330">
        <f t="shared" si="0"/>
        <v>233</v>
      </c>
      <c r="G14" s="330">
        <f t="shared" si="0"/>
        <v>253</v>
      </c>
      <c r="H14" s="330">
        <f t="shared" si="0"/>
        <v>230</v>
      </c>
      <c r="I14" s="330">
        <f t="shared" si="0"/>
        <v>7</v>
      </c>
      <c r="J14" s="330">
        <f t="shared" si="0"/>
        <v>12</v>
      </c>
      <c r="K14" s="330">
        <f t="shared" si="0"/>
        <v>2</v>
      </c>
      <c r="L14" s="330">
        <f t="shared" si="0"/>
        <v>89</v>
      </c>
      <c r="M14" s="330">
        <f t="shared" si="0"/>
        <v>10</v>
      </c>
      <c r="N14" s="330">
        <f t="shared" si="0"/>
        <v>146</v>
      </c>
      <c r="O14" s="330">
        <f t="shared" si="0"/>
        <v>284</v>
      </c>
      <c r="P14" s="330">
        <f t="shared" si="0"/>
        <v>46</v>
      </c>
      <c r="Q14" s="330">
        <f t="shared" si="0"/>
        <v>216</v>
      </c>
      <c r="R14" s="330">
        <f t="shared" si="0"/>
        <v>37</v>
      </c>
      <c r="S14" s="330">
        <f t="shared" si="0"/>
        <v>248</v>
      </c>
      <c r="T14" s="330">
        <f t="shared" si="0"/>
        <v>2</v>
      </c>
      <c r="U14" s="330">
        <f t="shared" si="0"/>
        <v>53</v>
      </c>
      <c r="V14" s="330">
        <f t="shared" si="0"/>
        <v>93</v>
      </c>
      <c r="W14" s="330">
        <f t="shared" si="0"/>
        <v>66</v>
      </c>
      <c r="X14" s="330">
        <f t="shared" si="0"/>
        <v>147</v>
      </c>
      <c r="Y14" s="330">
        <f t="shared" si="0"/>
        <v>324</v>
      </c>
      <c r="Z14" s="330">
        <f t="shared" si="0"/>
        <v>35</v>
      </c>
      <c r="AA14" s="330">
        <f t="shared" si="0"/>
        <v>90</v>
      </c>
      <c r="AB14" s="330">
        <f t="shared" si="0"/>
        <v>30</v>
      </c>
      <c r="AC14" s="330">
        <f t="shared" si="0"/>
        <v>30</v>
      </c>
      <c r="AD14" s="330">
        <f t="shared" si="0"/>
        <v>90</v>
      </c>
      <c r="AE14" s="330">
        <f t="shared" si="0"/>
        <v>40</v>
      </c>
      <c r="AF14" s="330">
        <f t="shared" si="0"/>
        <v>41</v>
      </c>
      <c r="AG14" s="330">
        <f t="shared" si="0"/>
        <v>74</v>
      </c>
      <c r="AH14" s="330">
        <f t="shared" si="0"/>
        <v>93</v>
      </c>
      <c r="AI14" s="330">
        <f t="shared" si="0"/>
        <v>16</v>
      </c>
      <c r="AJ14" s="330">
        <f t="shared" si="0"/>
        <v>32</v>
      </c>
      <c r="AK14" s="330">
        <f t="shared" si="0"/>
        <v>2</v>
      </c>
      <c r="AL14" s="330">
        <f t="shared" si="0"/>
        <v>133</v>
      </c>
      <c r="AM14" s="330">
        <f t="shared" si="0"/>
        <v>85</v>
      </c>
      <c r="AN14" s="330">
        <f t="shared" si="0"/>
        <v>120</v>
      </c>
      <c r="AO14" s="330">
        <f t="shared" si="0"/>
        <v>40</v>
      </c>
      <c r="AP14" s="330">
        <f t="shared" si="0"/>
        <v>16</v>
      </c>
      <c r="AQ14" s="330">
        <f t="shared" si="0"/>
        <v>40</v>
      </c>
      <c r="AR14" s="330">
        <f t="shared" si="0"/>
        <v>120</v>
      </c>
      <c r="AS14" s="330">
        <f t="shared" si="0"/>
        <v>106</v>
      </c>
      <c r="AT14" s="330">
        <f t="shared" si="0"/>
        <v>90</v>
      </c>
      <c r="AU14" s="330">
        <f t="shared" si="0"/>
        <v>18</v>
      </c>
      <c r="AV14" s="330">
        <f t="shared" si="0"/>
        <v>40</v>
      </c>
      <c r="AW14" s="330">
        <f t="shared" si="0"/>
        <v>65</v>
      </c>
      <c r="AX14" s="330">
        <f t="shared" si="0"/>
        <v>295</v>
      </c>
      <c r="AY14" s="330">
        <f t="shared" si="0"/>
        <v>92</v>
      </c>
      <c r="AZ14" s="330">
        <f t="shared" si="0"/>
        <v>50</v>
      </c>
      <c r="BA14" s="330">
        <f t="shared" si="0"/>
        <v>40</v>
      </c>
      <c r="BB14" s="330">
        <f t="shared" si="0"/>
        <v>16</v>
      </c>
      <c r="BC14" s="330">
        <f t="shared" si="0"/>
        <v>40</v>
      </c>
      <c r="BD14" s="330">
        <f t="shared" si="0"/>
        <v>40</v>
      </c>
      <c r="BE14" s="330">
        <f t="shared" si="0"/>
        <v>31</v>
      </c>
      <c r="BF14" s="330">
        <f t="shared" si="0"/>
        <v>20</v>
      </c>
      <c r="BG14" s="330">
        <f t="shared" si="0"/>
        <v>10</v>
      </c>
      <c r="BH14" s="330">
        <f t="shared" si="0"/>
        <v>2</v>
      </c>
      <c r="BI14" s="330">
        <f t="shared" si="0"/>
        <v>0</v>
      </c>
      <c r="BJ14" s="330">
        <f t="shared" si="0"/>
        <v>0</v>
      </c>
      <c r="BK14" s="330">
        <f t="shared" si="0"/>
        <v>0</v>
      </c>
      <c r="BL14" s="330">
        <f t="shared" si="0"/>
        <v>2</v>
      </c>
      <c r="BM14" s="330">
        <f t="shared" si="0"/>
        <v>80</v>
      </c>
      <c r="BN14" s="330">
        <f t="shared" si="0"/>
        <v>151</v>
      </c>
      <c r="BO14" s="330">
        <f t="shared" ref="BO14:CS14" si="1">SUM(BO5:BO13)</f>
        <v>3</v>
      </c>
      <c r="BP14" s="330">
        <f t="shared" si="1"/>
        <v>159</v>
      </c>
      <c r="BQ14" s="330">
        <f t="shared" si="1"/>
        <v>382</v>
      </c>
      <c r="BR14" s="330">
        <f t="shared" si="1"/>
        <v>256</v>
      </c>
      <c r="BS14" s="330">
        <f t="shared" si="1"/>
        <v>23</v>
      </c>
      <c r="BT14" s="330">
        <f t="shared" si="1"/>
        <v>162</v>
      </c>
      <c r="BU14" s="330">
        <f t="shared" si="1"/>
        <v>429</v>
      </c>
      <c r="BV14" s="330">
        <f t="shared" si="1"/>
        <v>57</v>
      </c>
      <c r="BW14" s="330">
        <f t="shared" si="1"/>
        <v>50</v>
      </c>
      <c r="BX14" s="330">
        <f t="shared" si="1"/>
        <v>85</v>
      </c>
      <c r="BY14" s="330">
        <f t="shared" si="1"/>
        <v>184</v>
      </c>
      <c r="BZ14" s="330">
        <f t="shared" si="1"/>
        <v>37</v>
      </c>
      <c r="CA14" s="330">
        <f t="shared" si="1"/>
        <v>128</v>
      </c>
      <c r="CB14" s="330">
        <f t="shared" si="1"/>
        <v>0</v>
      </c>
      <c r="CC14" s="330">
        <f t="shared" si="1"/>
        <v>387</v>
      </c>
      <c r="CD14" s="330">
        <f t="shared" si="1"/>
        <v>347</v>
      </c>
      <c r="CE14" s="330">
        <f t="shared" si="1"/>
        <v>0</v>
      </c>
      <c r="CF14" s="330">
        <f t="shared" si="1"/>
        <v>102</v>
      </c>
      <c r="CG14" s="330">
        <f t="shared" si="1"/>
        <v>75</v>
      </c>
      <c r="CH14" s="330">
        <f t="shared" si="1"/>
        <v>2</v>
      </c>
      <c r="CI14" s="330">
        <f t="shared" si="1"/>
        <v>79</v>
      </c>
      <c r="CJ14" s="330">
        <f t="shared" si="1"/>
        <v>210</v>
      </c>
      <c r="CK14" s="330">
        <f t="shared" si="1"/>
        <v>30</v>
      </c>
      <c r="CL14" s="330">
        <f t="shared" si="1"/>
        <v>5</v>
      </c>
      <c r="CM14" s="330">
        <f t="shared" si="1"/>
        <v>103</v>
      </c>
      <c r="CN14" s="330">
        <f t="shared" si="1"/>
        <v>58</v>
      </c>
      <c r="CO14" s="330">
        <f t="shared" si="1"/>
        <v>130</v>
      </c>
      <c r="CP14" s="330">
        <f t="shared" si="1"/>
        <v>85</v>
      </c>
      <c r="CQ14" s="330">
        <f t="shared" si="1"/>
        <v>283</v>
      </c>
      <c r="CR14" s="330">
        <f t="shared" si="1"/>
        <v>35</v>
      </c>
      <c r="CS14" s="330">
        <f t="shared" si="1"/>
        <v>9161</v>
      </c>
    </row>
    <row r="17" spans="100:100" x14ac:dyDescent="0.25">
      <c r="CV17" s="7"/>
    </row>
  </sheetData>
  <pageMargins left="0.7" right="0.7" top="0.75" bottom="0.75" header="0.3" footer="0.3"/>
  <pageSetup orientation="portrait" horizontalDpi="1200" verticalDpi="1200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3CDFA-67D6-4FE8-8F15-AD9172AFC53B}">
  <sheetPr>
    <tabColor theme="9" tint="0.79998168889431442"/>
  </sheetPr>
  <dimension ref="A1:H6"/>
  <sheetViews>
    <sheetView workbookViewId="0">
      <selection activeCell="A13" sqref="A13"/>
    </sheetView>
  </sheetViews>
  <sheetFormatPr defaultRowHeight="15" x14ac:dyDescent="0.25"/>
  <cols>
    <col min="1" max="1" width="67.140625" bestFit="1" customWidth="1"/>
    <col min="2" max="2" width="10.85546875" bestFit="1" customWidth="1"/>
    <col min="3" max="3" width="15.85546875" bestFit="1" customWidth="1"/>
    <col min="4" max="4" width="14.85546875" bestFit="1" customWidth="1"/>
    <col min="5" max="5" width="10.85546875" bestFit="1" customWidth="1"/>
    <col min="6" max="6" width="10.28515625" bestFit="1" customWidth="1"/>
    <col min="7" max="7" width="15.5703125" bestFit="1" customWidth="1"/>
    <col min="8" max="8" width="6.28515625" bestFit="1" customWidth="1"/>
    <col min="9" max="24" width="67.42578125" bestFit="1" customWidth="1"/>
    <col min="25" max="25" width="15.85546875" bestFit="1" customWidth="1"/>
    <col min="26" max="26" width="20.85546875" bestFit="1" customWidth="1"/>
    <col min="27" max="27" width="19.85546875" bestFit="1" customWidth="1"/>
    <col min="28" max="28" width="15.85546875" bestFit="1" customWidth="1"/>
    <col min="29" max="29" width="15.28515625" bestFit="1" customWidth="1"/>
    <col min="30" max="30" width="20.5703125" bestFit="1" customWidth="1"/>
  </cols>
  <sheetData>
    <row r="1" spans="1:8" x14ac:dyDescent="0.25">
      <c r="A1" t="s">
        <v>755</v>
      </c>
      <c r="B1" t="s">
        <v>633</v>
      </c>
    </row>
    <row r="3" spans="1:8" x14ac:dyDescent="0.25">
      <c r="A3" t="s">
        <v>557</v>
      </c>
      <c r="B3" t="s">
        <v>681</v>
      </c>
      <c r="C3" t="s">
        <v>682</v>
      </c>
      <c r="D3" t="s">
        <v>683</v>
      </c>
      <c r="E3" t="s">
        <v>684</v>
      </c>
      <c r="F3" t="s">
        <v>685</v>
      </c>
      <c r="G3" t="s">
        <v>686</v>
      </c>
      <c r="H3" s="330" t="s">
        <v>442</v>
      </c>
    </row>
    <row r="4" spans="1:8" x14ac:dyDescent="0.25">
      <c r="A4" s="328" t="s">
        <v>786</v>
      </c>
      <c r="B4" s="68">
        <v>20</v>
      </c>
      <c r="C4" s="68">
        <v>35</v>
      </c>
      <c r="D4" s="68">
        <v>86</v>
      </c>
      <c r="E4" s="68">
        <v>49</v>
      </c>
      <c r="F4" s="68">
        <v>42</v>
      </c>
      <c r="G4" s="68">
        <v>84</v>
      </c>
      <c r="H4" s="330">
        <f>SUM(B4:G4)</f>
        <v>316</v>
      </c>
    </row>
    <row r="5" spans="1:8" x14ac:dyDescent="0.25">
      <c r="A5" s="328" t="s">
        <v>31</v>
      </c>
      <c r="B5" s="68">
        <v>26</v>
      </c>
      <c r="C5" s="68">
        <v>34</v>
      </c>
      <c r="D5" s="68">
        <v>106</v>
      </c>
      <c r="E5" s="68">
        <v>43</v>
      </c>
      <c r="F5" s="68">
        <v>30</v>
      </c>
      <c r="G5" s="68">
        <v>34</v>
      </c>
      <c r="H5" s="330">
        <f t="shared" ref="H5:H6" si="0">SUM(B5:G5)</f>
        <v>273</v>
      </c>
    </row>
    <row r="6" spans="1:8" x14ac:dyDescent="0.25">
      <c r="A6" s="331" t="s">
        <v>186</v>
      </c>
      <c r="B6" s="332">
        <v>46</v>
      </c>
      <c r="C6" s="332">
        <v>69</v>
      </c>
      <c r="D6" s="332">
        <v>192</v>
      </c>
      <c r="E6" s="332">
        <v>92</v>
      </c>
      <c r="F6" s="332">
        <v>72</v>
      </c>
      <c r="G6" s="333">
        <v>118</v>
      </c>
      <c r="H6" s="330">
        <f t="shared" si="0"/>
        <v>589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D6F9A-A355-4F96-9CE8-CD34FE99F395}">
  <dimension ref="A1:Y4"/>
  <sheetViews>
    <sheetView workbookViewId="0"/>
  </sheetViews>
  <sheetFormatPr defaultRowHeight="15" x14ac:dyDescent="0.25"/>
  <cols>
    <col min="1" max="1" width="22.28515625" bestFit="1" customWidth="1"/>
    <col min="2" max="2" width="31.2851562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699</v>
      </c>
    </row>
    <row r="3" spans="1:25" x14ac:dyDescent="0.25">
      <c r="A3" t="s">
        <v>426</v>
      </c>
      <c r="B3" t="s">
        <v>427</v>
      </c>
      <c r="C3" t="s">
        <v>41</v>
      </c>
      <c r="D3" t="s">
        <v>42</v>
      </c>
      <c r="E3" t="s">
        <v>428</v>
      </c>
      <c r="F3" t="s">
        <v>44</v>
      </c>
      <c r="G3" t="s">
        <v>45</v>
      </c>
      <c r="H3" t="s">
        <v>46</v>
      </c>
      <c r="I3" t="s">
        <v>429</v>
      </c>
      <c r="J3" t="s">
        <v>430</v>
      </c>
      <c r="K3" t="s">
        <v>56</v>
      </c>
      <c r="L3" t="s">
        <v>48</v>
      </c>
      <c r="M3" t="s">
        <v>431</v>
      </c>
      <c r="N3" t="s">
        <v>432</v>
      </c>
      <c r="O3" t="s">
        <v>433</v>
      </c>
      <c r="P3" t="s">
        <v>434</v>
      </c>
      <c r="Q3" t="s">
        <v>435</v>
      </c>
      <c r="R3" t="s">
        <v>436</v>
      </c>
      <c r="S3" t="s">
        <v>437</v>
      </c>
      <c r="T3" t="s">
        <v>438</v>
      </c>
      <c r="U3" t="s">
        <v>439</v>
      </c>
      <c r="V3" t="s">
        <v>440</v>
      </c>
      <c r="W3" t="s">
        <v>53</v>
      </c>
      <c r="X3" t="s">
        <v>441</v>
      </c>
      <c r="Y3" t="s">
        <v>442</v>
      </c>
    </row>
    <row r="4" spans="1:25" x14ac:dyDescent="0.25">
      <c r="A4" t="s">
        <v>445</v>
      </c>
      <c r="B4" t="s">
        <v>700</v>
      </c>
      <c r="C4" t="s">
        <v>701</v>
      </c>
      <c r="N4">
        <v>20</v>
      </c>
      <c r="S4">
        <v>5</v>
      </c>
      <c r="T4">
        <v>5</v>
      </c>
      <c r="Y4">
        <v>30</v>
      </c>
    </row>
  </sheetData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D5A3A-4960-406A-AACD-DCCCF53F6CA6}">
  <dimension ref="A1:Y16"/>
  <sheetViews>
    <sheetView workbookViewId="0"/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702</v>
      </c>
    </row>
    <row r="3" spans="1:25" x14ac:dyDescent="0.25">
      <c r="A3" t="s">
        <v>426</v>
      </c>
      <c r="B3" t="s">
        <v>427</v>
      </c>
      <c r="C3" t="s">
        <v>41</v>
      </c>
      <c r="D3" t="s">
        <v>42</v>
      </c>
      <c r="E3" t="s">
        <v>428</v>
      </c>
      <c r="F3" t="s">
        <v>44</v>
      </c>
      <c r="G3" t="s">
        <v>45</v>
      </c>
      <c r="H3" t="s">
        <v>46</v>
      </c>
      <c r="I3" t="s">
        <v>429</v>
      </c>
      <c r="J3" t="s">
        <v>430</v>
      </c>
      <c r="K3" t="s">
        <v>56</v>
      </c>
      <c r="L3" t="s">
        <v>48</v>
      </c>
      <c r="M3" t="s">
        <v>431</v>
      </c>
      <c r="N3" t="s">
        <v>432</v>
      </c>
      <c r="O3" t="s">
        <v>433</v>
      </c>
      <c r="P3" t="s">
        <v>434</v>
      </c>
      <c r="Q3" t="s">
        <v>435</v>
      </c>
      <c r="R3" t="s">
        <v>436</v>
      </c>
      <c r="S3" t="s">
        <v>437</v>
      </c>
      <c r="T3" t="s">
        <v>438</v>
      </c>
      <c r="U3" t="s">
        <v>439</v>
      </c>
      <c r="V3" t="s">
        <v>440</v>
      </c>
      <c r="W3" t="s">
        <v>53</v>
      </c>
      <c r="X3" t="s">
        <v>441</v>
      </c>
      <c r="Y3" t="s">
        <v>442</v>
      </c>
    </row>
    <row r="4" spans="1:25" x14ac:dyDescent="0.25">
      <c r="A4" t="s">
        <v>443</v>
      </c>
      <c r="B4" t="s">
        <v>174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t="s">
        <v>454</v>
      </c>
      <c r="B5" t="s">
        <v>174</v>
      </c>
      <c r="C5">
        <v>6</v>
      </c>
      <c r="D5">
        <v>14</v>
      </c>
      <c r="E5">
        <v>1</v>
      </c>
      <c r="F5">
        <v>12</v>
      </c>
      <c r="G5">
        <v>1</v>
      </c>
      <c r="H5">
        <v>2</v>
      </c>
      <c r="I5">
        <v>0</v>
      </c>
      <c r="J5">
        <v>0</v>
      </c>
      <c r="K5">
        <v>3</v>
      </c>
      <c r="L5">
        <v>0</v>
      </c>
      <c r="M5">
        <v>0</v>
      </c>
      <c r="N5">
        <v>0</v>
      </c>
      <c r="O5">
        <v>3</v>
      </c>
      <c r="P5">
        <v>3</v>
      </c>
      <c r="Q5">
        <v>3</v>
      </c>
      <c r="R5">
        <v>0</v>
      </c>
      <c r="S5">
        <v>0</v>
      </c>
      <c r="T5">
        <v>0</v>
      </c>
      <c r="U5">
        <v>6</v>
      </c>
      <c r="V5">
        <v>0</v>
      </c>
      <c r="W5">
        <v>1</v>
      </c>
      <c r="X5">
        <v>0</v>
      </c>
      <c r="Y5">
        <v>55</v>
      </c>
    </row>
    <row r="6" spans="1:25" x14ac:dyDescent="0.25">
      <c r="A6" t="s">
        <v>450</v>
      </c>
      <c r="B6" t="s">
        <v>174</v>
      </c>
      <c r="C6">
        <v>1</v>
      </c>
      <c r="D6">
        <v>3</v>
      </c>
      <c r="E6">
        <v>1</v>
      </c>
      <c r="F6">
        <v>1</v>
      </c>
      <c r="G6">
        <v>1</v>
      </c>
      <c r="H6">
        <v>1</v>
      </c>
      <c r="I6">
        <v>2</v>
      </c>
      <c r="J6">
        <v>2</v>
      </c>
      <c r="O6">
        <v>5</v>
      </c>
      <c r="P6">
        <v>10</v>
      </c>
      <c r="Q6">
        <v>10</v>
      </c>
      <c r="R6">
        <v>4</v>
      </c>
      <c r="T6">
        <v>4</v>
      </c>
      <c r="V6">
        <v>2</v>
      </c>
      <c r="X6">
        <v>3</v>
      </c>
      <c r="Y6">
        <v>50</v>
      </c>
    </row>
    <row r="7" spans="1:25" x14ac:dyDescent="0.25">
      <c r="A7" t="s">
        <v>448</v>
      </c>
      <c r="B7" t="s">
        <v>174</v>
      </c>
      <c r="I7">
        <v>3</v>
      </c>
      <c r="J7">
        <v>1</v>
      </c>
      <c r="O7">
        <v>4</v>
      </c>
      <c r="U7">
        <v>2</v>
      </c>
      <c r="W7">
        <v>4</v>
      </c>
      <c r="Y7">
        <v>14</v>
      </c>
    </row>
    <row r="8" spans="1:25" x14ac:dyDescent="0.25">
      <c r="A8" t="s">
        <v>449</v>
      </c>
      <c r="B8" t="s">
        <v>174</v>
      </c>
      <c r="G8">
        <v>1</v>
      </c>
      <c r="I8">
        <v>3</v>
      </c>
      <c r="J8">
        <v>1</v>
      </c>
      <c r="O8">
        <v>1</v>
      </c>
      <c r="P8">
        <v>4</v>
      </c>
      <c r="Q8">
        <v>14</v>
      </c>
      <c r="R8">
        <v>1</v>
      </c>
      <c r="T8">
        <v>1</v>
      </c>
      <c r="U8">
        <v>1</v>
      </c>
      <c r="W8">
        <v>1</v>
      </c>
      <c r="Y8">
        <v>28</v>
      </c>
    </row>
    <row r="9" spans="1:25" x14ac:dyDescent="0.25">
      <c r="A9" t="s">
        <v>453</v>
      </c>
      <c r="B9" t="s">
        <v>174</v>
      </c>
      <c r="I9">
        <v>3</v>
      </c>
      <c r="J9">
        <v>3</v>
      </c>
      <c r="K9">
        <v>3</v>
      </c>
      <c r="M9">
        <v>3</v>
      </c>
      <c r="O9">
        <v>3</v>
      </c>
      <c r="P9">
        <v>4</v>
      </c>
      <c r="Q9">
        <v>4</v>
      </c>
      <c r="U9">
        <v>2</v>
      </c>
      <c r="W9">
        <v>3</v>
      </c>
      <c r="X9">
        <v>2</v>
      </c>
      <c r="Y9">
        <v>30</v>
      </c>
    </row>
    <row r="10" spans="1:25" x14ac:dyDescent="0.25">
      <c r="A10" t="s">
        <v>464</v>
      </c>
      <c r="B10" t="s">
        <v>174</v>
      </c>
      <c r="C10">
        <v>12</v>
      </c>
      <c r="D10">
        <v>4</v>
      </c>
      <c r="E10">
        <v>0</v>
      </c>
      <c r="F10">
        <v>0</v>
      </c>
      <c r="G10">
        <v>0</v>
      </c>
      <c r="H10">
        <v>0</v>
      </c>
      <c r="I10">
        <v>7</v>
      </c>
      <c r="J10">
        <v>9</v>
      </c>
      <c r="K10">
        <v>9</v>
      </c>
      <c r="L10">
        <v>0</v>
      </c>
      <c r="M10">
        <v>0</v>
      </c>
      <c r="N10">
        <v>0</v>
      </c>
      <c r="O10">
        <v>6</v>
      </c>
      <c r="P10">
        <v>6</v>
      </c>
      <c r="Q10">
        <v>11</v>
      </c>
      <c r="R10">
        <v>3</v>
      </c>
      <c r="S10">
        <v>2</v>
      </c>
      <c r="T10">
        <v>3</v>
      </c>
      <c r="U10">
        <v>9</v>
      </c>
      <c r="V10">
        <v>9</v>
      </c>
      <c r="W10">
        <v>6</v>
      </c>
      <c r="X10">
        <v>7</v>
      </c>
      <c r="Y10">
        <v>103</v>
      </c>
    </row>
    <row r="11" spans="1:25" x14ac:dyDescent="0.25">
      <c r="A11" t="s">
        <v>446</v>
      </c>
      <c r="B11" t="s">
        <v>174</v>
      </c>
      <c r="I11">
        <v>10</v>
      </c>
      <c r="K11">
        <v>10</v>
      </c>
      <c r="W11">
        <v>10</v>
      </c>
      <c r="Y11">
        <v>30</v>
      </c>
    </row>
    <row r="12" spans="1:25" x14ac:dyDescent="0.25">
      <c r="A12" t="s">
        <v>445</v>
      </c>
      <c r="B12" t="s">
        <v>174</v>
      </c>
      <c r="C12">
        <v>1</v>
      </c>
      <c r="D12">
        <v>23</v>
      </c>
      <c r="E12">
        <v>1</v>
      </c>
      <c r="F12">
        <v>11</v>
      </c>
      <c r="G12">
        <v>6</v>
      </c>
      <c r="H12">
        <v>10</v>
      </c>
      <c r="I12">
        <v>24</v>
      </c>
      <c r="J12">
        <v>47</v>
      </c>
      <c r="K12">
        <v>20</v>
      </c>
      <c r="M12">
        <v>24</v>
      </c>
      <c r="O12">
        <v>15</v>
      </c>
      <c r="P12">
        <v>11</v>
      </c>
      <c r="Q12">
        <v>95</v>
      </c>
      <c r="R12">
        <v>17</v>
      </c>
      <c r="S12">
        <v>3</v>
      </c>
      <c r="T12">
        <v>12</v>
      </c>
      <c r="U12">
        <v>5</v>
      </c>
      <c r="V12">
        <v>21</v>
      </c>
      <c r="W12">
        <v>89</v>
      </c>
      <c r="X12">
        <v>25</v>
      </c>
      <c r="Y12">
        <v>460</v>
      </c>
    </row>
    <row r="13" spans="1:25" x14ac:dyDescent="0.25">
      <c r="A13" t="s">
        <v>444</v>
      </c>
      <c r="B13" t="s">
        <v>174</v>
      </c>
      <c r="C13">
        <v>5</v>
      </c>
      <c r="D13">
        <v>9</v>
      </c>
      <c r="E13">
        <v>1</v>
      </c>
      <c r="F13">
        <v>2</v>
      </c>
      <c r="G13">
        <v>6</v>
      </c>
      <c r="H13">
        <v>12</v>
      </c>
      <c r="I13">
        <v>31</v>
      </c>
      <c r="J13">
        <v>13</v>
      </c>
      <c r="K13">
        <v>11</v>
      </c>
      <c r="N13">
        <v>2</v>
      </c>
      <c r="O13">
        <v>19</v>
      </c>
      <c r="P13">
        <v>5</v>
      </c>
      <c r="Q13">
        <v>6</v>
      </c>
      <c r="R13">
        <v>3</v>
      </c>
      <c r="S13">
        <v>5</v>
      </c>
      <c r="T13">
        <v>3</v>
      </c>
      <c r="U13">
        <v>6</v>
      </c>
      <c r="W13">
        <v>8</v>
      </c>
      <c r="Y13">
        <v>147</v>
      </c>
    </row>
    <row r="14" spans="1:25" x14ac:dyDescent="0.25">
      <c r="A14" t="s">
        <v>452</v>
      </c>
      <c r="B14" t="s">
        <v>174</v>
      </c>
      <c r="I14">
        <v>72</v>
      </c>
      <c r="J14">
        <v>11</v>
      </c>
      <c r="K14">
        <v>2</v>
      </c>
      <c r="O14">
        <v>1</v>
      </c>
      <c r="P14">
        <v>1</v>
      </c>
      <c r="U14">
        <v>11</v>
      </c>
      <c r="V14">
        <v>1</v>
      </c>
      <c r="W14">
        <v>30</v>
      </c>
      <c r="Y14">
        <v>129</v>
      </c>
    </row>
    <row r="15" spans="1:25" x14ac:dyDescent="0.25">
      <c r="A15" t="s">
        <v>447</v>
      </c>
      <c r="B15" t="s">
        <v>174</v>
      </c>
      <c r="Y15">
        <v>0</v>
      </c>
    </row>
    <row r="16" spans="1:25" x14ac:dyDescent="0.25">
      <c r="A16" t="s">
        <v>451</v>
      </c>
      <c r="B16" t="s">
        <v>174</v>
      </c>
      <c r="Y16">
        <v>0</v>
      </c>
    </row>
  </sheetData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70A6B-12D7-4919-A474-0D5AB46DF7F0}">
  <dimension ref="A1:Y16"/>
  <sheetViews>
    <sheetView workbookViewId="0"/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702</v>
      </c>
    </row>
    <row r="3" spans="1:25" x14ac:dyDescent="0.25">
      <c r="A3" t="s">
        <v>426</v>
      </c>
      <c r="B3" t="s">
        <v>427</v>
      </c>
      <c r="C3" t="s">
        <v>41</v>
      </c>
      <c r="D3" t="s">
        <v>42</v>
      </c>
      <c r="E3" t="s">
        <v>428</v>
      </c>
      <c r="F3" t="s">
        <v>44</v>
      </c>
      <c r="G3" t="s">
        <v>45</v>
      </c>
      <c r="H3" t="s">
        <v>46</v>
      </c>
      <c r="I3" t="s">
        <v>429</v>
      </c>
      <c r="J3" t="s">
        <v>430</v>
      </c>
      <c r="K3" t="s">
        <v>56</v>
      </c>
      <c r="L3" t="s">
        <v>48</v>
      </c>
      <c r="M3" t="s">
        <v>431</v>
      </c>
      <c r="N3" t="s">
        <v>432</v>
      </c>
      <c r="O3" t="s">
        <v>433</v>
      </c>
      <c r="P3" t="s">
        <v>434</v>
      </c>
      <c r="Q3" t="s">
        <v>435</v>
      </c>
      <c r="R3" t="s">
        <v>436</v>
      </c>
      <c r="S3" t="s">
        <v>437</v>
      </c>
      <c r="T3" t="s">
        <v>438</v>
      </c>
      <c r="U3" t="s">
        <v>439</v>
      </c>
      <c r="V3" t="s">
        <v>440</v>
      </c>
      <c r="W3" t="s">
        <v>53</v>
      </c>
      <c r="X3" t="s">
        <v>441</v>
      </c>
      <c r="Y3" t="s">
        <v>442</v>
      </c>
    </row>
    <row r="4" spans="1:25" x14ac:dyDescent="0.25">
      <c r="A4" t="s">
        <v>443</v>
      </c>
      <c r="B4" t="s">
        <v>174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t="s">
        <v>454</v>
      </c>
      <c r="B5" t="s">
        <v>174</v>
      </c>
      <c r="C5">
        <v>6</v>
      </c>
      <c r="D5">
        <v>14</v>
      </c>
      <c r="E5">
        <v>1</v>
      </c>
      <c r="F5">
        <v>12</v>
      </c>
      <c r="G5">
        <v>1</v>
      </c>
      <c r="H5">
        <v>2</v>
      </c>
      <c r="I5">
        <v>0</v>
      </c>
      <c r="J5">
        <v>0</v>
      </c>
      <c r="K5">
        <v>3</v>
      </c>
      <c r="L5">
        <v>0</v>
      </c>
      <c r="M5">
        <v>0</v>
      </c>
      <c r="N5">
        <v>0</v>
      </c>
      <c r="O5">
        <v>3</v>
      </c>
      <c r="P5">
        <v>3</v>
      </c>
      <c r="Q5">
        <v>3</v>
      </c>
      <c r="R5">
        <v>0</v>
      </c>
      <c r="S5">
        <v>0</v>
      </c>
      <c r="T5">
        <v>0</v>
      </c>
      <c r="U5">
        <v>6</v>
      </c>
      <c r="V5">
        <v>0</v>
      </c>
      <c r="W5">
        <v>1</v>
      </c>
      <c r="X5">
        <v>0</v>
      </c>
      <c r="Y5">
        <v>55</v>
      </c>
    </row>
    <row r="6" spans="1:25" x14ac:dyDescent="0.25">
      <c r="A6" t="s">
        <v>450</v>
      </c>
      <c r="B6" t="s">
        <v>174</v>
      </c>
      <c r="C6">
        <v>1</v>
      </c>
      <c r="D6">
        <v>3</v>
      </c>
      <c r="E6">
        <v>1</v>
      </c>
      <c r="F6">
        <v>1</v>
      </c>
      <c r="G6">
        <v>1</v>
      </c>
      <c r="H6">
        <v>1</v>
      </c>
      <c r="I6">
        <v>2</v>
      </c>
      <c r="J6">
        <v>2</v>
      </c>
      <c r="O6">
        <v>5</v>
      </c>
      <c r="P6">
        <v>10</v>
      </c>
      <c r="Q6">
        <v>10</v>
      </c>
      <c r="R6">
        <v>4</v>
      </c>
      <c r="T6">
        <v>4</v>
      </c>
      <c r="V6">
        <v>2</v>
      </c>
      <c r="X6">
        <v>3</v>
      </c>
      <c r="Y6">
        <v>50</v>
      </c>
    </row>
    <row r="7" spans="1:25" x14ac:dyDescent="0.25">
      <c r="A7" t="s">
        <v>448</v>
      </c>
      <c r="B7" t="s">
        <v>174</v>
      </c>
      <c r="I7">
        <v>3</v>
      </c>
      <c r="J7">
        <v>1</v>
      </c>
      <c r="O7">
        <v>4</v>
      </c>
      <c r="U7">
        <v>2</v>
      </c>
      <c r="W7">
        <v>4</v>
      </c>
      <c r="Y7">
        <v>14</v>
      </c>
    </row>
    <row r="8" spans="1:25" x14ac:dyDescent="0.25">
      <c r="A8" t="s">
        <v>449</v>
      </c>
      <c r="B8" t="s">
        <v>174</v>
      </c>
      <c r="G8">
        <v>1</v>
      </c>
      <c r="I8">
        <v>3</v>
      </c>
      <c r="J8">
        <v>1</v>
      </c>
      <c r="O8">
        <v>1</v>
      </c>
      <c r="P8">
        <v>4</v>
      </c>
      <c r="Q8">
        <v>14</v>
      </c>
      <c r="R8">
        <v>1</v>
      </c>
      <c r="T8">
        <v>1</v>
      </c>
      <c r="U8">
        <v>1</v>
      </c>
      <c r="W8">
        <v>1</v>
      </c>
      <c r="Y8">
        <v>28</v>
      </c>
    </row>
    <row r="9" spans="1:25" x14ac:dyDescent="0.25">
      <c r="A9" t="s">
        <v>453</v>
      </c>
      <c r="B9" t="s">
        <v>174</v>
      </c>
      <c r="I9">
        <v>3</v>
      </c>
      <c r="J9">
        <v>3</v>
      </c>
      <c r="K9">
        <v>3</v>
      </c>
      <c r="M9">
        <v>3</v>
      </c>
      <c r="O9">
        <v>3</v>
      </c>
      <c r="P9">
        <v>4</v>
      </c>
      <c r="Q9">
        <v>4</v>
      </c>
      <c r="U9">
        <v>2</v>
      </c>
      <c r="W9">
        <v>3</v>
      </c>
      <c r="X9">
        <v>2</v>
      </c>
      <c r="Y9">
        <v>30</v>
      </c>
    </row>
    <row r="10" spans="1:25" x14ac:dyDescent="0.25">
      <c r="A10" t="s">
        <v>464</v>
      </c>
      <c r="B10" t="s">
        <v>174</v>
      </c>
      <c r="C10">
        <v>12</v>
      </c>
      <c r="D10">
        <v>4</v>
      </c>
      <c r="E10">
        <v>0</v>
      </c>
      <c r="F10">
        <v>0</v>
      </c>
      <c r="G10">
        <v>0</v>
      </c>
      <c r="H10">
        <v>0</v>
      </c>
      <c r="I10">
        <v>7</v>
      </c>
      <c r="J10">
        <v>9</v>
      </c>
      <c r="K10">
        <v>9</v>
      </c>
      <c r="L10">
        <v>0</v>
      </c>
      <c r="M10">
        <v>0</v>
      </c>
      <c r="N10">
        <v>0</v>
      </c>
      <c r="O10">
        <v>6</v>
      </c>
      <c r="P10">
        <v>6</v>
      </c>
      <c r="Q10">
        <v>11</v>
      </c>
      <c r="R10">
        <v>3</v>
      </c>
      <c r="S10">
        <v>2</v>
      </c>
      <c r="T10">
        <v>3</v>
      </c>
      <c r="U10">
        <v>9</v>
      </c>
      <c r="V10">
        <v>9</v>
      </c>
      <c r="W10">
        <v>6</v>
      </c>
      <c r="X10">
        <v>7</v>
      </c>
      <c r="Y10">
        <v>103</v>
      </c>
    </row>
    <row r="11" spans="1:25" x14ac:dyDescent="0.25">
      <c r="A11" t="s">
        <v>446</v>
      </c>
      <c r="B11" t="s">
        <v>174</v>
      </c>
      <c r="I11">
        <v>10</v>
      </c>
      <c r="K11">
        <v>10</v>
      </c>
      <c r="W11">
        <v>10</v>
      </c>
      <c r="Y11">
        <v>30</v>
      </c>
    </row>
    <row r="12" spans="1:25" x14ac:dyDescent="0.25">
      <c r="A12" t="s">
        <v>445</v>
      </c>
      <c r="B12" t="s">
        <v>174</v>
      </c>
      <c r="C12">
        <v>1</v>
      </c>
      <c r="D12">
        <v>23</v>
      </c>
      <c r="E12">
        <v>1</v>
      </c>
      <c r="F12">
        <v>11</v>
      </c>
      <c r="G12">
        <v>6</v>
      </c>
      <c r="H12">
        <v>10</v>
      </c>
      <c r="I12">
        <v>24</v>
      </c>
      <c r="J12">
        <v>47</v>
      </c>
      <c r="K12">
        <v>20</v>
      </c>
      <c r="M12">
        <v>24</v>
      </c>
      <c r="O12">
        <v>15</v>
      </c>
      <c r="P12">
        <v>11</v>
      </c>
      <c r="Q12">
        <v>95</v>
      </c>
      <c r="R12">
        <v>17</v>
      </c>
      <c r="S12">
        <v>3</v>
      </c>
      <c r="T12">
        <v>12</v>
      </c>
      <c r="U12">
        <v>5</v>
      </c>
      <c r="V12">
        <v>21</v>
      </c>
      <c r="W12">
        <v>89</v>
      </c>
      <c r="X12">
        <v>25</v>
      </c>
      <c r="Y12">
        <v>460</v>
      </c>
    </row>
    <row r="13" spans="1:25" x14ac:dyDescent="0.25">
      <c r="A13" t="s">
        <v>444</v>
      </c>
      <c r="B13" t="s">
        <v>174</v>
      </c>
      <c r="C13">
        <v>5</v>
      </c>
      <c r="D13">
        <v>9</v>
      </c>
      <c r="E13">
        <v>1</v>
      </c>
      <c r="F13">
        <v>2</v>
      </c>
      <c r="G13">
        <v>6</v>
      </c>
      <c r="H13">
        <v>12</v>
      </c>
      <c r="I13">
        <v>31</v>
      </c>
      <c r="J13">
        <v>13</v>
      </c>
      <c r="K13">
        <v>11</v>
      </c>
      <c r="N13">
        <v>2</v>
      </c>
      <c r="O13">
        <v>19</v>
      </c>
      <c r="P13">
        <v>5</v>
      </c>
      <c r="Q13">
        <v>6</v>
      </c>
      <c r="R13">
        <v>3</v>
      </c>
      <c r="S13">
        <v>5</v>
      </c>
      <c r="T13">
        <v>3</v>
      </c>
      <c r="U13">
        <v>6</v>
      </c>
      <c r="W13">
        <v>8</v>
      </c>
      <c r="Y13">
        <v>147</v>
      </c>
    </row>
    <row r="14" spans="1:25" x14ac:dyDescent="0.25">
      <c r="A14" t="s">
        <v>452</v>
      </c>
      <c r="B14" t="s">
        <v>174</v>
      </c>
      <c r="I14">
        <v>72</v>
      </c>
      <c r="J14">
        <v>11</v>
      </c>
      <c r="K14">
        <v>2</v>
      </c>
      <c r="O14">
        <v>1</v>
      </c>
      <c r="P14">
        <v>1</v>
      </c>
      <c r="U14">
        <v>11</v>
      </c>
      <c r="V14">
        <v>1</v>
      </c>
      <c r="W14">
        <v>30</v>
      </c>
      <c r="Y14">
        <v>129</v>
      </c>
    </row>
    <row r="15" spans="1:25" x14ac:dyDescent="0.25">
      <c r="A15" t="s">
        <v>447</v>
      </c>
      <c r="B15" t="s">
        <v>174</v>
      </c>
      <c r="Y15">
        <v>0</v>
      </c>
    </row>
    <row r="16" spans="1:25" x14ac:dyDescent="0.25">
      <c r="A16" t="s">
        <v>451</v>
      </c>
      <c r="B16" t="s">
        <v>174</v>
      </c>
      <c r="Y16">
        <v>0</v>
      </c>
    </row>
  </sheetData>
  <pageMargins left="0.7" right="0.7" top="0.75" bottom="0.75" header="0.3" footer="0.3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D81D7-00DD-4BCA-AF69-F7131566648E}">
  <dimension ref="A1:Y15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855468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703</v>
      </c>
    </row>
    <row r="3" spans="1:25" x14ac:dyDescent="0.25">
      <c r="A3" t="s">
        <v>426</v>
      </c>
      <c r="B3" t="s">
        <v>427</v>
      </c>
      <c r="C3" t="s">
        <v>41</v>
      </c>
      <c r="D3" t="s">
        <v>42</v>
      </c>
      <c r="E3" t="s">
        <v>428</v>
      </c>
      <c r="F3" t="s">
        <v>44</v>
      </c>
      <c r="G3" t="s">
        <v>45</v>
      </c>
      <c r="H3" t="s">
        <v>46</v>
      </c>
      <c r="I3" t="s">
        <v>429</v>
      </c>
      <c r="J3" t="s">
        <v>430</v>
      </c>
      <c r="K3" t="s">
        <v>56</v>
      </c>
      <c r="L3" t="s">
        <v>48</v>
      </c>
      <c r="M3" t="s">
        <v>431</v>
      </c>
      <c r="N3" t="s">
        <v>432</v>
      </c>
      <c r="O3" t="s">
        <v>433</v>
      </c>
      <c r="P3" t="s">
        <v>434</v>
      </c>
      <c r="Q3" t="s">
        <v>435</v>
      </c>
      <c r="R3" t="s">
        <v>436</v>
      </c>
      <c r="S3" t="s">
        <v>437</v>
      </c>
      <c r="T3" t="s">
        <v>438</v>
      </c>
      <c r="U3" t="s">
        <v>439</v>
      </c>
      <c r="V3" t="s">
        <v>440</v>
      </c>
      <c r="W3" t="s">
        <v>53</v>
      </c>
      <c r="X3" t="s">
        <v>441</v>
      </c>
      <c r="Y3" t="s">
        <v>442</v>
      </c>
    </row>
    <row r="4" spans="1:25" x14ac:dyDescent="0.25">
      <c r="A4" t="s">
        <v>445</v>
      </c>
      <c r="B4" t="s">
        <v>168</v>
      </c>
      <c r="N4">
        <v>30</v>
      </c>
      <c r="P4">
        <v>90</v>
      </c>
      <c r="Q4">
        <v>30</v>
      </c>
      <c r="S4">
        <v>30</v>
      </c>
      <c r="V4">
        <v>30</v>
      </c>
      <c r="Y4">
        <v>210</v>
      </c>
    </row>
    <row r="5" spans="1:25" x14ac:dyDescent="0.25">
      <c r="A5" t="s">
        <v>446</v>
      </c>
      <c r="B5" t="s">
        <v>168</v>
      </c>
      <c r="I5">
        <v>3</v>
      </c>
      <c r="J5">
        <v>1</v>
      </c>
      <c r="K5">
        <v>1</v>
      </c>
      <c r="U5">
        <v>1</v>
      </c>
      <c r="W5">
        <v>1</v>
      </c>
      <c r="Y5">
        <v>7</v>
      </c>
    </row>
    <row r="6" spans="1:25" x14ac:dyDescent="0.25">
      <c r="A6" t="s">
        <v>443</v>
      </c>
      <c r="B6" t="s">
        <v>168</v>
      </c>
      <c r="C6">
        <v>7</v>
      </c>
      <c r="D6">
        <v>4</v>
      </c>
      <c r="E6">
        <v>3</v>
      </c>
      <c r="F6">
        <v>3</v>
      </c>
      <c r="G6">
        <v>5</v>
      </c>
      <c r="H6">
        <v>3</v>
      </c>
      <c r="I6">
        <v>241</v>
      </c>
      <c r="J6">
        <v>16</v>
      </c>
      <c r="K6">
        <v>5</v>
      </c>
      <c r="L6">
        <v>4</v>
      </c>
      <c r="M6">
        <v>2</v>
      </c>
      <c r="N6">
        <v>7</v>
      </c>
      <c r="O6">
        <v>13</v>
      </c>
      <c r="P6">
        <v>17</v>
      </c>
      <c r="Q6">
        <v>14</v>
      </c>
      <c r="R6">
        <v>7</v>
      </c>
      <c r="S6">
        <v>7</v>
      </c>
      <c r="T6">
        <v>7</v>
      </c>
      <c r="U6">
        <v>32</v>
      </c>
      <c r="V6">
        <v>12</v>
      </c>
      <c r="W6">
        <v>113</v>
      </c>
      <c r="X6">
        <v>7</v>
      </c>
      <c r="Y6">
        <v>529</v>
      </c>
    </row>
    <row r="7" spans="1:25" x14ac:dyDescent="0.25">
      <c r="A7" t="s">
        <v>447</v>
      </c>
      <c r="B7" t="s">
        <v>168</v>
      </c>
      <c r="Y7">
        <v>0</v>
      </c>
    </row>
    <row r="8" spans="1:25" x14ac:dyDescent="0.25">
      <c r="A8" t="s">
        <v>448</v>
      </c>
      <c r="B8" t="s">
        <v>168</v>
      </c>
      <c r="I8">
        <v>8</v>
      </c>
      <c r="O8">
        <v>8</v>
      </c>
      <c r="U8">
        <v>8</v>
      </c>
      <c r="W8">
        <v>10</v>
      </c>
      <c r="Y8">
        <v>34</v>
      </c>
    </row>
    <row r="9" spans="1:25" x14ac:dyDescent="0.25">
      <c r="A9" t="s">
        <v>449</v>
      </c>
      <c r="B9" t="s">
        <v>168</v>
      </c>
      <c r="D9">
        <v>1</v>
      </c>
      <c r="F9">
        <v>1</v>
      </c>
      <c r="I9">
        <v>15</v>
      </c>
      <c r="K9">
        <v>2</v>
      </c>
      <c r="O9">
        <v>5</v>
      </c>
      <c r="P9">
        <v>5</v>
      </c>
      <c r="Q9">
        <v>13</v>
      </c>
      <c r="W9">
        <v>1</v>
      </c>
      <c r="Y9">
        <v>43</v>
      </c>
    </row>
    <row r="10" spans="1:25" x14ac:dyDescent="0.25">
      <c r="A10" t="s">
        <v>450</v>
      </c>
      <c r="B10" t="s">
        <v>168</v>
      </c>
      <c r="I10">
        <v>6</v>
      </c>
      <c r="J10">
        <v>11</v>
      </c>
      <c r="K10">
        <v>1</v>
      </c>
      <c r="M10">
        <v>4</v>
      </c>
      <c r="N10">
        <v>6</v>
      </c>
      <c r="O10">
        <v>13</v>
      </c>
      <c r="P10">
        <v>8</v>
      </c>
      <c r="Q10">
        <v>9</v>
      </c>
      <c r="R10">
        <v>4</v>
      </c>
      <c r="S10">
        <v>4</v>
      </c>
      <c r="T10">
        <v>4</v>
      </c>
      <c r="U10">
        <v>8</v>
      </c>
      <c r="V10">
        <v>4</v>
      </c>
      <c r="W10">
        <v>9</v>
      </c>
      <c r="X10">
        <v>5</v>
      </c>
      <c r="Y10">
        <v>96</v>
      </c>
    </row>
    <row r="11" spans="1:25" x14ac:dyDescent="0.25">
      <c r="A11" t="s">
        <v>451</v>
      </c>
      <c r="B11" t="s">
        <v>168</v>
      </c>
      <c r="C11">
        <v>1</v>
      </c>
      <c r="D11">
        <v>2</v>
      </c>
      <c r="I11">
        <v>2</v>
      </c>
      <c r="J11">
        <v>1</v>
      </c>
      <c r="O11">
        <v>1</v>
      </c>
      <c r="U11">
        <v>1</v>
      </c>
      <c r="W11">
        <v>2</v>
      </c>
      <c r="Y11">
        <v>10</v>
      </c>
    </row>
    <row r="12" spans="1:25" x14ac:dyDescent="0.25">
      <c r="A12" t="s">
        <v>444</v>
      </c>
      <c r="B12" t="s">
        <v>168</v>
      </c>
      <c r="C12">
        <v>15</v>
      </c>
      <c r="D12">
        <v>30</v>
      </c>
      <c r="E12">
        <v>2</v>
      </c>
      <c r="F12">
        <v>3</v>
      </c>
      <c r="G12">
        <v>8</v>
      </c>
      <c r="H12">
        <v>18</v>
      </c>
      <c r="I12">
        <v>42</v>
      </c>
      <c r="J12">
        <v>14</v>
      </c>
      <c r="K12">
        <v>16</v>
      </c>
      <c r="L12">
        <v>2</v>
      </c>
      <c r="M12">
        <v>1</v>
      </c>
      <c r="O12">
        <v>11</v>
      </c>
      <c r="P12">
        <v>12</v>
      </c>
      <c r="Q12">
        <v>72</v>
      </c>
      <c r="R12">
        <v>6</v>
      </c>
      <c r="S12">
        <v>18</v>
      </c>
      <c r="U12">
        <v>2</v>
      </c>
      <c r="V12">
        <v>32</v>
      </c>
      <c r="W12">
        <v>10</v>
      </c>
      <c r="Y12">
        <v>314</v>
      </c>
    </row>
    <row r="13" spans="1:25" x14ac:dyDescent="0.25">
      <c r="A13" t="s">
        <v>452</v>
      </c>
      <c r="B13" t="s">
        <v>168</v>
      </c>
      <c r="I13">
        <v>10</v>
      </c>
      <c r="K13">
        <v>2</v>
      </c>
      <c r="O13">
        <v>1</v>
      </c>
      <c r="U13">
        <v>1</v>
      </c>
      <c r="W13">
        <v>10</v>
      </c>
      <c r="Y13">
        <v>24</v>
      </c>
    </row>
    <row r="14" spans="1:25" x14ac:dyDescent="0.25">
      <c r="A14" t="s">
        <v>453</v>
      </c>
      <c r="B14" t="s">
        <v>168</v>
      </c>
      <c r="C14">
        <v>2</v>
      </c>
      <c r="I14">
        <v>5</v>
      </c>
      <c r="J14">
        <v>5</v>
      </c>
      <c r="K14">
        <v>4</v>
      </c>
      <c r="L14">
        <v>1</v>
      </c>
      <c r="O14">
        <v>4</v>
      </c>
      <c r="P14">
        <v>7</v>
      </c>
      <c r="Q14">
        <v>5</v>
      </c>
      <c r="U14">
        <v>2</v>
      </c>
      <c r="W14">
        <v>2</v>
      </c>
      <c r="X14">
        <v>2</v>
      </c>
      <c r="Y14">
        <v>39</v>
      </c>
    </row>
    <row r="15" spans="1:25" x14ac:dyDescent="0.25">
      <c r="A15" t="s">
        <v>454</v>
      </c>
      <c r="B15" t="s">
        <v>168</v>
      </c>
      <c r="C15">
        <v>41</v>
      </c>
      <c r="D15">
        <v>1</v>
      </c>
      <c r="J15">
        <v>15</v>
      </c>
      <c r="O15">
        <v>5</v>
      </c>
      <c r="R15">
        <v>8</v>
      </c>
      <c r="U15">
        <v>17</v>
      </c>
      <c r="W15">
        <v>12</v>
      </c>
      <c r="Y15">
        <v>99</v>
      </c>
    </row>
  </sheetData>
  <pageMargins left="0.7" right="0.7" top="0.75" bottom="0.75" header="0.3" footer="0.3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EA243-A55D-4F6D-BE2B-1526FF8921D7}">
  <dimension ref="A1:Y16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855468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704</v>
      </c>
    </row>
    <row r="3" spans="1:25" x14ac:dyDescent="0.25">
      <c r="A3" t="s">
        <v>426</v>
      </c>
      <c r="B3" t="s">
        <v>427</v>
      </c>
      <c r="C3" t="s">
        <v>41</v>
      </c>
      <c r="D3" t="s">
        <v>42</v>
      </c>
      <c r="E3" t="s">
        <v>428</v>
      </c>
      <c r="F3" t="s">
        <v>44</v>
      </c>
      <c r="G3" t="s">
        <v>45</v>
      </c>
      <c r="H3" t="s">
        <v>46</v>
      </c>
      <c r="I3" t="s">
        <v>429</v>
      </c>
      <c r="J3" t="s">
        <v>430</v>
      </c>
      <c r="K3" t="s">
        <v>56</v>
      </c>
      <c r="L3" t="s">
        <v>48</v>
      </c>
      <c r="M3" t="s">
        <v>431</v>
      </c>
      <c r="N3" t="s">
        <v>432</v>
      </c>
      <c r="O3" t="s">
        <v>433</v>
      </c>
      <c r="P3" t="s">
        <v>434</v>
      </c>
      <c r="Q3" t="s">
        <v>435</v>
      </c>
      <c r="R3" t="s">
        <v>436</v>
      </c>
      <c r="S3" t="s">
        <v>437</v>
      </c>
      <c r="T3" t="s">
        <v>438</v>
      </c>
      <c r="U3" t="s">
        <v>439</v>
      </c>
      <c r="V3" t="s">
        <v>440</v>
      </c>
      <c r="W3" t="s">
        <v>53</v>
      </c>
      <c r="X3" t="s">
        <v>441</v>
      </c>
      <c r="Y3" t="s">
        <v>442</v>
      </c>
    </row>
    <row r="4" spans="1:25" x14ac:dyDescent="0.25">
      <c r="A4" t="s">
        <v>445</v>
      </c>
      <c r="B4" t="s">
        <v>281</v>
      </c>
      <c r="N4">
        <v>30</v>
      </c>
      <c r="P4">
        <v>30</v>
      </c>
      <c r="Q4">
        <v>30</v>
      </c>
      <c r="S4">
        <v>30</v>
      </c>
      <c r="V4">
        <v>30</v>
      </c>
      <c r="Y4">
        <v>150</v>
      </c>
    </row>
    <row r="5" spans="1:25" x14ac:dyDescent="0.25">
      <c r="A5" t="s">
        <v>446</v>
      </c>
      <c r="B5" t="s">
        <v>281</v>
      </c>
      <c r="Y5">
        <v>0</v>
      </c>
    </row>
    <row r="6" spans="1:25" x14ac:dyDescent="0.25">
      <c r="A6" t="s">
        <v>443</v>
      </c>
      <c r="B6" t="s">
        <v>281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</row>
    <row r="7" spans="1:25" x14ac:dyDescent="0.25">
      <c r="A7" t="s">
        <v>447</v>
      </c>
      <c r="B7" t="s">
        <v>281</v>
      </c>
      <c r="Y7">
        <v>0</v>
      </c>
    </row>
    <row r="8" spans="1:25" x14ac:dyDescent="0.25">
      <c r="A8" t="s">
        <v>464</v>
      </c>
      <c r="B8" t="s">
        <v>281</v>
      </c>
      <c r="C8">
        <v>3</v>
      </c>
      <c r="D8">
        <v>3</v>
      </c>
      <c r="E8">
        <v>3</v>
      </c>
      <c r="F8">
        <v>3</v>
      </c>
      <c r="G8">
        <v>3</v>
      </c>
      <c r="H8">
        <v>3</v>
      </c>
      <c r="I8">
        <v>3</v>
      </c>
      <c r="J8">
        <v>3</v>
      </c>
      <c r="K8">
        <v>3</v>
      </c>
      <c r="L8">
        <v>3</v>
      </c>
      <c r="M8">
        <v>3</v>
      </c>
      <c r="N8">
        <v>3</v>
      </c>
      <c r="O8">
        <v>3</v>
      </c>
      <c r="P8">
        <v>3</v>
      </c>
      <c r="Q8">
        <v>3</v>
      </c>
      <c r="R8">
        <v>3</v>
      </c>
      <c r="S8">
        <v>3</v>
      </c>
      <c r="T8">
        <v>3</v>
      </c>
      <c r="U8">
        <v>3</v>
      </c>
      <c r="V8">
        <v>3</v>
      </c>
      <c r="W8">
        <v>3</v>
      </c>
      <c r="X8">
        <v>3</v>
      </c>
      <c r="Y8">
        <v>66</v>
      </c>
    </row>
    <row r="9" spans="1:25" x14ac:dyDescent="0.25">
      <c r="A9" t="s">
        <v>448</v>
      </c>
      <c r="B9" t="s">
        <v>281</v>
      </c>
      <c r="Y9">
        <v>0</v>
      </c>
    </row>
    <row r="10" spans="1:25" x14ac:dyDescent="0.25">
      <c r="A10" t="s">
        <v>449</v>
      </c>
      <c r="B10" t="s">
        <v>281</v>
      </c>
      <c r="Y10">
        <v>0</v>
      </c>
    </row>
    <row r="11" spans="1:25" x14ac:dyDescent="0.25">
      <c r="A11" t="s">
        <v>450</v>
      </c>
      <c r="B11" t="s">
        <v>281</v>
      </c>
      <c r="Y11">
        <v>0</v>
      </c>
    </row>
    <row r="12" spans="1:25" x14ac:dyDescent="0.25">
      <c r="A12" t="s">
        <v>451</v>
      </c>
      <c r="B12" t="s">
        <v>281</v>
      </c>
      <c r="Y12">
        <v>0</v>
      </c>
    </row>
    <row r="13" spans="1:25" x14ac:dyDescent="0.25">
      <c r="A13" t="s">
        <v>444</v>
      </c>
      <c r="B13" t="s">
        <v>281</v>
      </c>
      <c r="C13">
        <v>2</v>
      </c>
      <c r="D13">
        <v>4</v>
      </c>
      <c r="E13">
        <v>1</v>
      </c>
      <c r="F13">
        <v>3</v>
      </c>
      <c r="I13">
        <v>20</v>
      </c>
      <c r="J13">
        <v>2</v>
      </c>
      <c r="K13">
        <v>1</v>
      </c>
      <c r="O13">
        <v>1</v>
      </c>
      <c r="R13">
        <v>1</v>
      </c>
      <c r="S13">
        <v>2</v>
      </c>
      <c r="V13">
        <v>5</v>
      </c>
      <c r="W13">
        <v>1</v>
      </c>
      <c r="Y13">
        <v>43</v>
      </c>
    </row>
    <row r="14" spans="1:25" x14ac:dyDescent="0.25">
      <c r="A14" t="s">
        <v>452</v>
      </c>
      <c r="B14" t="s">
        <v>281</v>
      </c>
      <c r="Y14">
        <v>0</v>
      </c>
    </row>
    <row r="15" spans="1:25" x14ac:dyDescent="0.25">
      <c r="A15" t="s">
        <v>453</v>
      </c>
      <c r="B15" t="s">
        <v>281</v>
      </c>
      <c r="Y15">
        <v>0</v>
      </c>
    </row>
    <row r="16" spans="1:25" x14ac:dyDescent="0.25">
      <c r="A16" t="s">
        <v>454</v>
      </c>
      <c r="B16" t="s">
        <v>281</v>
      </c>
      <c r="Y16">
        <v>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14C7FA5466C94E8517B32B1AE5CACC" ma:contentTypeVersion="8" ma:contentTypeDescription="Create a new document." ma:contentTypeScope="" ma:versionID="c460c2c8bdbef585d0dd74f48c9bab19">
  <xsd:schema xmlns:xsd="http://www.w3.org/2001/XMLSchema" xmlns:xs="http://www.w3.org/2001/XMLSchema" xmlns:p="http://schemas.microsoft.com/office/2006/metadata/properties" xmlns:ns2="3898f6d4-6cb0-4920-8d93-0dc904493100" targetNamespace="http://schemas.microsoft.com/office/2006/metadata/properties" ma:root="true" ma:fieldsID="80703ff1cd77d7f3d1b05ac9a79fd7e0" ns2:_="">
    <xsd:import namespace="3898f6d4-6cb0-4920-8d93-0dc9044931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98f6d4-6cb0-4920-8d93-0dc904493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EF0B72-28F0-4EAA-8E88-7C8117EAFE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98f6d4-6cb0-4920-8d93-0dc904493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7AA037-0C6E-4E4C-AEA2-4C281CFC06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BEE3DD-688F-43CC-82E9-CDBAA99AEC7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13</vt:i4>
      </vt:variant>
    </vt:vector>
  </HeadingPairs>
  <TitlesOfParts>
    <vt:vector size="40" baseType="lpstr">
      <vt:lpstr>TSD-Bi-Weekly</vt:lpstr>
      <vt:lpstr>TSD-%</vt:lpstr>
      <vt:lpstr>Planning-Need vs Planned</vt:lpstr>
      <vt:lpstr>Sheet1</vt:lpstr>
      <vt:lpstr>TSD- FY25 Canceled Courses</vt:lpstr>
      <vt:lpstr>Detail1</vt:lpstr>
      <vt:lpstr>Detail2</vt:lpstr>
      <vt:lpstr>Detail3</vt:lpstr>
      <vt:lpstr>FLT</vt:lpstr>
      <vt:lpstr>OH</vt:lpstr>
      <vt:lpstr>SAF</vt:lpstr>
      <vt:lpstr>ENV</vt:lpstr>
      <vt:lpstr>Detail4</vt:lpstr>
      <vt:lpstr>FY26 Status</vt:lpstr>
      <vt:lpstr>Planned vs Need by Course</vt:lpstr>
      <vt:lpstr>FY 2026 Schedule</vt:lpstr>
      <vt:lpstr>TSD-Data</vt:lpstr>
      <vt:lpstr>FY26 Needs Assessment Dashboard</vt:lpstr>
      <vt:lpstr>FY26  SOH Resident Courses All</vt:lpstr>
      <vt:lpstr>FY26 SOH Global Online All</vt:lpstr>
      <vt:lpstr>FY26 EEM Resident Courses All</vt:lpstr>
      <vt:lpstr>FY26 EEM Online Courses All</vt:lpstr>
      <vt:lpstr>Detail5</vt:lpstr>
      <vt:lpstr>Detail6</vt:lpstr>
      <vt:lpstr>Detail7</vt:lpstr>
      <vt:lpstr>Detail8</vt:lpstr>
      <vt:lpstr>Detail9</vt:lpstr>
      <vt:lpstr>CIN</vt:lpstr>
      <vt:lpstr>Class</vt:lpstr>
      <vt:lpstr>Courses</vt:lpstr>
      <vt:lpstr>Instructor</vt:lpstr>
      <vt:lpstr>Location</vt:lpstr>
      <vt:lpstr>ENV!Print_Area</vt:lpstr>
      <vt:lpstr>FLT!Print_Area</vt:lpstr>
      <vt:lpstr>'FY 2026 Schedule'!Print_Area</vt:lpstr>
      <vt:lpstr>'FY26 Needs Assessment Dashboard'!Print_Area</vt:lpstr>
      <vt:lpstr>'FY26 Status'!Print_Area</vt:lpstr>
      <vt:lpstr>OH!Print_Area</vt:lpstr>
      <vt:lpstr>SAF!Print_Area</vt:lpstr>
      <vt:lpstr>Roster</vt:lpstr>
    </vt:vector>
  </TitlesOfParts>
  <Manager/>
  <Company>HPES NMCI NGEN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McQueen, Jennifer A CIV NAVOSHENVTRACEN, N7TS4</dc:creator>
  <cp:keywords/>
  <dc:description/>
  <cp:lastModifiedBy>Mohler, Hallock N (Hal) CIV USN NAVSAFENVTRACEN NOR (U</cp:lastModifiedBy>
  <cp:revision/>
  <dcterms:created xsi:type="dcterms:W3CDTF">2020-09-15T15:26:38Z</dcterms:created>
  <dcterms:modified xsi:type="dcterms:W3CDTF">2025-06-10T15:16:20Z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0x0101000514C7FA5466C94E8517B32B1AE5CACC</vt:lpwstr>
  </property>
</Properties>
</file>